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nce\Bútor\Dokumentáció\"/>
    </mc:Choice>
  </mc:AlternateContent>
  <bookViews>
    <workbookView xWindow="0" yWindow="0" windowWidth="28800" windowHeight="12330"/>
  </bookViews>
  <sheets>
    <sheet name="Egyen Kalkulátor" sheetId="1" r:id="rId1"/>
    <sheet name="Egyedi kalkulátor" sheetId="3" r:id="rId2"/>
    <sheet name="Elérhető típusok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50" i="1" l="1"/>
  <c r="X51" i="1"/>
  <c r="X52" i="1"/>
  <c r="X53" i="1"/>
  <c r="X54" i="1"/>
  <c r="X55" i="1"/>
  <c r="X56" i="1"/>
  <c r="X57" i="1"/>
  <c r="X58" i="1"/>
  <c r="X49" i="1"/>
  <c r="X35" i="1"/>
  <c r="X36" i="1"/>
  <c r="X37" i="1"/>
  <c r="X38" i="1"/>
  <c r="X39" i="1"/>
  <c r="X40" i="1"/>
  <c r="X41" i="1"/>
  <c r="X42" i="1"/>
  <c r="X43" i="1"/>
  <c r="X44" i="1"/>
  <c r="AP40" i="3" l="1"/>
  <c r="AP24" i="3"/>
  <c r="AP15" i="3"/>
  <c r="AP16" i="3"/>
  <c r="AP17" i="3"/>
  <c r="AP18" i="3"/>
  <c r="AP19" i="3"/>
  <c r="AP20" i="3"/>
  <c r="AP21" i="3"/>
  <c r="AP22" i="3"/>
  <c r="AP23" i="3"/>
  <c r="AO40" i="3"/>
  <c r="AQ40" i="3" l="1"/>
  <c r="W40" i="3"/>
  <c r="V41" i="3"/>
  <c r="V42" i="3"/>
  <c r="V43" i="3"/>
  <c r="V44" i="3"/>
  <c r="V45" i="3"/>
  <c r="V46" i="3"/>
  <c r="V47" i="3"/>
  <c r="V48" i="3"/>
  <c r="V49" i="3"/>
  <c r="P41" i="3"/>
  <c r="P42" i="3"/>
  <c r="P43" i="3"/>
  <c r="P44" i="3"/>
  <c r="P45" i="3"/>
  <c r="P46" i="3"/>
  <c r="P47" i="3"/>
  <c r="P48" i="3"/>
  <c r="P49" i="3"/>
  <c r="O47" i="3"/>
  <c r="O41" i="3"/>
  <c r="O42" i="3"/>
  <c r="O43" i="3"/>
  <c r="O44" i="3"/>
  <c r="O45" i="3"/>
  <c r="O46" i="3"/>
  <c r="O48" i="3"/>
  <c r="O49" i="3"/>
  <c r="AP49" i="3"/>
  <c r="AO49" i="3"/>
  <c r="AS49" i="3"/>
  <c r="W49" i="3"/>
  <c r="Q49" i="3"/>
  <c r="L49" i="3"/>
  <c r="U49" i="3" s="1"/>
  <c r="K49" i="3"/>
  <c r="N49" i="3" s="1"/>
  <c r="I49" i="3"/>
  <c r="J49" i="3" s="1"/>
  <c r="H49" i="3"/>
  <c r="AS48" i="3"/>
  <c r="AP48" i="3"/>
  <c r="AO48" i="3"/>
  <c r="AQ48" i="3" s="1"/>
  <c r="AR48" i="3" s="1"/>
  <c r="W48" i="3"/>
  <c r="T48" i="3"/>
  <c r="Q48" i="3"/>
  <c r="N48" i="3"/>
  <c r="M48" i="3"/>
  <c r="L48" i="3"/>
  <c r="U48" i="3" s="1"/>
  <c r="K48" i="3"/>
  <c r="R48" i="3" s="1"/>
  <c r="S48" i="3" s="1"/>
  <c r="J48" i="3"/>
  <c r="I48" i="3"/>
  <c r="H48" i="3"/>
  <c r="AS47" i="3"/>
  <c r="AP47" i="3"/>
  <c r="AO47" i="3"/>
  <c r="AQ47" i="3" s="1"/>
  <c r="AR47" i="3" s="1"/>
  <c r="W47" i="3"/>
  <c r="U47" i="3"/>
  <c r="T47" i="3"/>
  <c r="N47" i="3"/>
  <c r="M47" i="3"/>
  <c r="L47" i="3"/>
  <c r="K47" i="3"/>
  <c r="R47" i="3" s="1"/>
  <c r="I47" i="3"/>
  <c r="H47" i="3"/>
  <c r="Q47" i="3" s="1"/>
  <c r="S47" i="3" s="1"/>
  <c r="AP46" i="3"/>
  <c r="AO46" i="3"/>
  <c r="AQ46" i="3" s="1"/>
  <c r="AR46" i="3" s="1"/>
  <c r="AS46" i="3"/>
  <c r="W46" i="3"/>
  <c r="U46" i="3"/>
  <c r="N46" i="3"/>
  <c r="L46" i="3"/>
  <c r="K46" i="3"/>
  <c r="R46" i="3" s="1"/>
  <c r="I46" i="3"/>
  <c r="H46" i="3"/>
  <c r="Q46" i="3" s="1"/>
  <c r="S46" i="3" s="1"/>
  <c r="AP45" i="3"/>
  <c r="AO45" i="3"/>
  <c r="AS45" i="3"/>
  <c r="W45" i="3"/>
  <c r="T45" i="3"/>
  <c r="Q45" i="3"/>
  <c r="M45" i="3"/>
  <c r="L45" i="3"/>
  <c r="U45" i="3" s="1"/>
  <c r="K45" i="3"/>
  <c r="R45" i="3" s="1"/>
  <c r="I45" i="3"/>
  <c r="J45" i="3" s="1"/>
  <c r="H45" i="3"/>
  <c r="AS44" i="3"/>
  <c r="AP44" i="3"/>
  <c r="AO44" i="3"/>
  <c r="W44" i="3"/>
  <c r="U44" i="3"/>
  <c r="Q44" i="3"/>
  <c r="L44" i="3"/>
  <c r="K44" i="3"/>
  <c r="T44" i="3" s="1"/>
  <c r="J44" i="3"/>
  <c r="I44" i="3"/>
  <c r="H44" i="3"/>
  <c r="AP43" i="3"/>
  <c r="AO43" i="3"/>
  <c r="AS43" i="3"/>
  <c r="W43" i="3"/>
  <c r="Q43" i="3"/>
  <c r="L43" i="3"/>
  <c r="U43" i="3" s="1"/>
  <c r="K43" i="3"/>
  <c r="N43" i="3" s="1"/>
  <c r="I43" i="3"/>
  <c r="J43" i="3" s="1"/>
  <c r="H43" i="3"/>
  <c r="AS42" i="3"/>
  <c r="AP42" i="3"/>
  <c r="AO42" i="3"/>
  <c r="AQ42" i="3" s="1"/>
  <c r="AR42" i="3" s="1"/>
  <c r="W42" i="3"/>
  <c r="T42" i="3"/>
  <c r="Q42" i="3"/>
  <c r="N42" i="3"/>
  <c r="L42" i="3"/>
  <c r="U42" i="3" s="1"/>
  <c r="K42" i="3"/>
  <c r="R42" i="3" s="1"/>
  <c r="S42" i="3" s="1"/>
  <c r="J42" i="3"/>
  <c r="I42" i="3"/>
  <c r="H42" i="3"/>
  <c r="AS41" i="3"/>
  <c r="AP41" i="3"/>
  <c r="AO41" i="3"/>
  <c r="AQ41" i="3" s="1"/>
  <c r="AR41" i="3" s="1"/>
  <c r="W41" i="3"/>
  <c r="U41" i="3"/>
  <c r="T41" i="3"/>
  <c r="N41" i="3"/>
  <c r="M41" i="3"/>
  <c r="L41" i="3"/>
  <c r="K41" i="3"/>
  <c r="R41" i="3" s="1"/>
  <c r="I41" i="3"/>
  <c r="H41" i="3"/>
  <c r="Q41" i="3" s="1"/>
  <c r="S41" i="3" s="1"/>
  <c r="AS40" i="3"/>
  <c r="AT40" i="3"/>
  <c r="L40" i="3"/>
  <c r="O40" i="3" s="1"/>
  <c r="K40" i="3"/>
  <c r="R40" i="3" s="1"/>
  <c r="I40" i="3"/>
  <c r="H40" i="3"/>
  <c r="Q40" i="3" s="1"/>
  <c r="AC16" i="3"/>
  <c r="AC17" i="3"/>
  <c r="AC18" i="3"/>
  <c r="AC19" i="3"/>
  <c r="AC20" i="3"/>
  <c r="AC21" i="3"/>
  <c r="AC22" i="3"/>
  <c r="AC23" i="3"/>
  <c r="AC24" i="3"/>
  <c r="AC15" i="3"/>
  <c r="AQ43" i="3" l="1"/>
  <c r="AR43" i="3" s="1"/>
  <c r="AQ49" i="3"/>
  <c r="AR49" i="3" s="1"/>
  <c r="U40" i="3"/>
  <c r="T40" i="3"/>
  <c r="AQ44" i="3"/>
  <c r="AR44" i="3" s="1"/>
  <c r="AQ45" i="3"/>
  <c r="AR45" i="3" s="1"/>
  <c r="X48" i="3"/>
  <c r="AM48" i="3" s="1"/>
  <c r="J40" i="3"/>
  <c r="M40" i="3"/>
  <c r="S40" i="3"/>
  <c r="X42" i="3"/>
  <c r="AM42" i="3" s="1"/>
  <c r="S45" i="3"/>
  <c r="S44" i="3"/>
  <c r="N44" i="3"/>
  <c r="N40" i="3"/>
  <c r="P40" i="3" s="1"/>
  <c r="N45" i="3"/>
  <c r="X45" i="3" s="1"/>
  <c r="AM45" i="3" s="1"/>
  <c r="M46" i="3"/>
  <c r="T46" i="3"/>
  <c r="R43" i="3"/>
  <c r="S43" i="3" s="1"/>
  <c r="R49" i="3"/>
  <c r="S49" i="3" s="1"/>
  <c r="M42" i="3"/>
  <c r="R44" i="3"/>
  <c r="M43" i="3"/>
  <c r="X43" i="3" s="1"/>
  <c r="AM43" i="3" s="1"/>
  <c r="T43" i="3"/>
  <c r="J46" i="3"/>
  <c r="M49" i="3"/>
  <c r="T49" i="3"/>
  <c r="J41" i="3"/>
  <c r="X41" i="3" s="1"/>
  <c r="AM41" i="3" s="1"/>
  <c r="M44" i="3"/>
  <c r="J47" i="3"/>
  <c r="X47" i="3" s="1"/>
  <c r="AM47" i="3" s="1"/>
  <c r="W50" i="1"/>
  <c r="W51" i="1"/>
  <c r="W52" i="1"/>
  <c r="W53" i="1"/>
  <c r="W54" i="1"/>
  <c r="W55" i="1"/>
  <c r="W56" i="1"/>
  <c r="W57" i="1"/>
  <c r="W58" i="1"/>
  <c r="W49" i="1"/>
  <c r="W36" i="1"/>
  <c r="W37" i="1"/>
  <c r="W38" i="1"/>
  <c r="W39" i="1"/>
  <c r="W40" i="1"/>
  <c r="W41" i="1"/>
  <c r="W42" i="1"/>
  <c r="W43" i="1"/>
  <c r="W44" i="1"/>
  <c r="W35" i="1"/>
  <c r="AS15" i="3"/>
  <c r="V40" i="3" l="1"/>
  <c r="X40" i="3" s="1"/>
  <c r="AM40" i="3" s="1"/>
  <c r="AR40" i="3" s="1"/>
  <c r="X44" i="3"/>
  <c r="AM44" i="3" s="1"/>
  <c r="X49" i="3"/>
  <c r="AM49" i="3" s="1"/>
  <c r="X46" i="3"/>
  <c r="AM46" i="3" s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4" i="1"/>
  <c r="AO22" i="3"/>
  <c r="AO16" i="3"/>
  <c r="AO17" i="3"/>
  <c r="AO18" i="3"/>
  <c r="AO19" i="3"/>
  <c r="AO20" i="3"/>
  <c r="AO21" i="3"/>
  <c r="AO23" i="3"/>
  <c r="AO24" i="3"/>
  <c r="AO15" i="3"/>
  <c r="Y15" i="3"/>
  <c r="AD15" i="3" s="1"/>
  <c r="W15" i="3"/>
  <c r="AG15" i="3" l="1"/>
  <c r="AJ15" i="3" s="1"/>
  <c r="AQ20" i="3"/>
  <c r="AQ19" i="3"/>
  <c r="AQ15" i="3"/>
  <c r="AQ18" i="3"/>
  <c r="AQ24" i="3"/>
  <c r="AQ17" i="3"/>
  <c r="AQ23" i="3"/>
  <c r="AQ16" i="3"/>
  <c r="AQ21" i="3"/>
  <c r="AQ22" i="3"/>
  <c r="Y16" i="3"/>
  <c r="AD16" i="3" s="1"/>
  <c r="Z16" i="3"/>
  <c r="AE16" i="3" s="1"/>
  <c r="AA16" i="3"/>
  <c r="Y17" i="3"/>
  <c r="Z17" i="3"/>
  <c r="AE17" i="3" s="1"/>
  <c r="AA17" i="3"/>
  <c r="Y18" i="3"/>
  <c r="AD18" i="3" s="1"/>
  <c r="Z18" i="3"/>
  <c r="AE18" i="3" s="1"/>
  <c r="AA18" i="3"/>
  <c r="Y19" i="3"/>
  <c r="Z19" i="3"/>
  <c r="AE19" i="3" s="1"/>
  <c r="AA19" i="3"/>
  <c r="Y20" i="3"/>
  <c r="AD20" i="3" s="1"/>
  <c r="Z20" i="3"/>
  <c r="AE20" i="3" s="1"/>
  <c r="AA20" i="3"/>
  <c r="Y21" i="3"/>
  <c r="Z21" i="3"/>
  <c r="AE21" i="3" s="1"/>
  <c r="AA21" i="3"/>
  <c r="Y22" i="3"/>
  <c r="AD22" i="3" s="1"/>
  <c r="Z22" i="3"/>
  <c r="AE22" i="3" s="1"/>
  <c r="AA22" i="3"/>
  <c r="Y23" i="3"/>
  <c r="Z23" i="3"/>
  <c r="AE23" i="3" s="1"/>
  <c r="AA23" i="3"/>
  <c r="Y24" i="3"/>
  <c r="AD24" i="3" s="1"/>
  <c r="Z24" i="3"/>
  <c r="AE24" i="3" s="1"/>
  <c r="AA24" i="3"/>
  <c r="AA15" i="3"/>
  <c r="AF15" i="3" s="1"/>
  <c r="Z15" i="3"/>
  <c r="AE15" i="3" s="1"/>
  <c r="H16" i="3"/>
  <c r="Q16" i="3" s="1"/>
  <c r="I16" i="3"/>
  <c r="K16" i="3"/>
  <c r="L16" i="3"/>
  <c r="U16" i="3" s="1"/>
  <c r="W16" i="3"/>
  <c r="H17" i="3"/>
  <c r="Q17" i="3" s="1"/>
  <c r="I17" i="3"/>
  <c r="K17" i="3"/>
  <c r="N17" i="3" s="1"/>
  <c r="P17" i="3" s="1"/>
  <c r="L17" i="3"/>
  <c r="U17" i="3" s="1"/>
  <c r="W17" i="3"/>
  <c r="H18" i="3"/>
  <c r="I18" i="3"/>
  <c r="K18" i="3"/>
  <c r="T18" i="3" s="1"/>
  <c r="V18" i="3" s="1"/>
  <c r="L18" i="3"/>
  <c r="U18" i="3" s="1"/>
  <c r="W18" i="3"/>
  <c r="H19" i="3"/>
  <c r="Q19" i="3" s="1"/>
  <c r="I19" i="3"/>
  <c r="K19" i="3"/>
  <c r="L19" i="3"/>
  <c r="U19" i="3" s="1"/>
  <c r="W19" i="3"/>
  <c r="H20" i="3"/>
  <c r="I20" i="3"/>
  <c r="K20" i="3"/>
  <c r="N20" i="3" s="1"/>
  <c r="P20" i="3" s="1"/>
  <c r="L20" i="3"/>
  <c r="U20" i="3" s="1"/>
  <c r="W20" i="3"/>
  <c r="H21" i="3"/>
  <c r="I21" i="3"/>
  <c r="K21" i="3"/>
  <c r="T21" i="3" s="1"/>
  <c r="L21" i="3"/>
  <c r="U21" i="3" s="1"/>
  <c r="V21" i="3" s="1"/>
  <c r="W21" i="3"/>
  <c r="H22" i="3"/>
  <c r="I22" i="3"/>
  <c r="K22" i="3"/>
  <c r="L22" i="3"/>
  <c r="U22" i="3" s="1"/>
  <c r="W22" i="3"/>
  <c r="H23" i="3"/>
  <c r="I23" i="3"/>
  <c r="K23" i="3"/>
  <c r="N23" i="3" s="1"/>
  <c r="P23" i="3" s="1"/>
  <c r="L23" i="3"/>
  <c r="U23" i="3" s="1"/>
  <c r="W23" i="3"/>
  <c r="H24" i="3"/>
  <c r="I24" i="3"/>
  <c r="K24" i="3"/>
  <c r="L24" i="3"/>
  <c r="U24" i="3" s="1"/>
  <c r="W24" i="3"/>
  <c r="L15" i="3"/>
  <c r="U15" i="3" s="1"/>
  <c r="K15" i="3"/>
  <c r="T15" i="3" s="1"/>
  <c r="I15" i="3"/>
  <c r="H15" i="3"/>
  <c r="AB23" i="3" l="1"/>
  <c r="AS23" i="3" s="1"/>
  <c r="AD23" i="3"/>
  <c r="AB21" i="3"/>
  <c r="AS21" i="3" s="1"/>
  <c r="AD21" i="3"/>
  <c r="AB19" i="3"/>
  <c r="AS19" i="3" s="1"/>
  <c r="AD19" i="3"/>
  <c r="AB17" i="3"/>
  <c r="AS17" i="3" s="1"/>
  <c r="AD17" i="3"/>
  <c r="AH15" i="3"/>
  <c r="AK15" i="3" s="1"/>
  <c r="AI15" i="3"/>
  <c r="AL15" i="3" s="1"/>
  <c r="AB22" i="3"/>
  <c r="AS22" i="3" s="1"/>
  <c r="AB20" i="3"/>
  <c r="AS20" i="3" s="1"/>
  <c r="AB18" i="3"/>
  <c r="AS18" i="3" s="1"/>
  <c r="AB16" i="3"/>
  <c r="AS16" i="3" s="1"/>
  <c r="AB24" i="3"/>
  <c r="AS24" i="3" s="1"/>
  <c r="AB15" i="3"/>
  <c r="AT15" i="3" s="1"/>
  <c r="V15" i="3"/>
  <c r="AF24" i="3"/>
  <c r="AF22" i="3"/>
  <c r="AF18" i="3"/>
  <c r="AF20" i="3"/>
  <c r="AF16" i="3"/>
  <c r="AF23" i="3"/>
  <c r="AF21" i="3"/>
  <c r="AF19" i="3"/>
  <c r="AF17" i="3"/>
  <c r="Q15" i="3"/>
  <c r="J15" i="3"/>
  <c r="J16" i="3"/>
  <c r="N21" i="3"/>
  <c r="P21" i="3" s="1"/>
  <c r="J23" i="3"/>
  <c r="J22" i="3"/>
  <c r="M21" i="3"/>
  <c r="J17" i="3"/>
  <c r="M24" i="3"/>
  <c r="R21" i="3"/>
  <c r="J20" i="3"/>
  <c r="M18" i="3"/>
  <c r="T24" i="3"/>
  <c r="V24" i="3" s="1"/>
  <c r="J19" i="3"/>
  <c r="M23" i="3"/>
  <c r="M17" i="3"/>
  <c r="Q23" i="3"/>
  <c r="N15" i="3"/>
  <c r="P15" i="3" s="1"/>
  <c r="Q20" i="3"/>
  <c r="T20" i="3"/>
  <c r="V20" i="3" s="1"/>
  <c r="R15" i="3"/>
  <c r="M20" i="3"/>
  <c r="R24" i="3"/>
  <c r="J21" i="3"/>
  <c r="R18" i="3"/>
  <c r="J24" i="3"/>
  <c r="Q22" i="3"/>
  <c r="J18" i="3"/>
  <c r="N24" i="3"/>
  <c r="P24" i="3" s="1"/>
  <c r="N18" i="3"/>
  <c r="P18" i="3" s="1"/>
  <c r="T23" i="3"/>
  <c r="V23" i="3" s="1"/>
  <c r="M22" i="3"/>
  <c r="T17" i="3"/>
  <c r="V17" i="3" s="1"/>
  <c r="R20" i="3"/>
  <c r="M19" i="3"/>
  <c r="M16" i="3"/>
  <c r="R22" i="3"/>
  <c r="R19" i="3"/>
  <c r="S19" i="3" s="1"/>
  <c r="R16" i="3"/>
  <c r="S16" i="3" s="1"/>
  <c r="R23" i="3"/>
  <c r="R17" i="3"/>
  <c r="S17" i="3" s="1"/>
  <c r="N22" i="3"/>
  <c r="P22" i="3" s="1"/>
  <c r="N19" i="3"/>
  <c r="P19" i="3" s="1"/>
  <c r="N16" i="3"/>
  <c r="P16" i="3" s="1"/>
  <c r="T22" i="3"/>
  <c r="V22" i="3" s="1"/>
  <c r="T19" i="3"/>
  <c r="V19" i="3" s="1"/>
  <c r="T16" i="3"/>
  <c r="V16" i="3" s="1"/>
  <c r="Q24" i="3"/>
  <c r="Q21" i="3"/>
  <c r="Q18" i="3"/>
  <c r="M15" i="3"/>
  <c r="AH17" i="3" l="1"/>
  <c r="AK17" i="3" s="1"/>
  <c r="AI24" i="3"/>
  <c r="AL24" i="3" s="1"/>
  <c r="AI17" i="3"/>
  <c r="AL17" i="3" s="1"/>
  <c r="AI20" i="3"/>
  <c r="AL20" i="3" s="1"/>
  <c r="AH19" i="3"/>
  <c r="AK19" i="3" s="1"/>
  <c r="AI18" i="3"/>
  <c r="AL18" i="3" s="1"/>
  <c r="AG16" i="3"/>
  <c r="AJ16" i="3" s="1"/>
  <c r="AN16" i="3"/>
  <c r="AI19" i="3"/>
  <c r="AL19" i="3" s="1"/>
  <c r="AG21" i="3"/>
  <c r="AJ21" i="3" s="1"/>
  <c r="AN21" i="3"/>
  <c r="AH18" i="3"/>
  <c r="AK18" i="3" s="1"/>
  <c r="AI22" i="3"/>
  <c r="AL22" i="3" s="1"/>
  <c r="AG19" i="3"/>
  <c r="AJ19" i="3" s="1"/>
  <c r="AN19" i="3"/>
  <c r="AI21" i="3"/>
  <c r="AL21" i="3" s="1"/>
  <c r="AH22" i="3"/>
  <c r="AK22" i="3" s="1"/>
  <c r="AH16" i="3"/>
  <c r="AK16" i="3" s="1"/>
  <c r="AI23" i="3"/>
  <c r="AL23" i="3" s="1"/>
  <c r="AH23" i="3"/>
  <c r="AK23" i="3" s="1"/>
  <c r="AH24" i="3"/>
  <c r="AK24" i="3" s="1"/>
  <c r="AG18" i="3"/>
  <c r="AJ18" i="3" s="1"/>
  <c r="AN18" i="3"/>
  <c r="AG20" i="3"/>
  <c r="AJ20" i="3" s="1"/>
  <c r="AN20" i="3"/>
  <c r="AG22" i="3"/>
  <c r="AJ22" i="3" s="1"/>
  <c r="AN22" i="3"/>
  <c r="AH21" i="3"/>
  <c r="AK21" i="3" s="1"/>
  <c r="AG17" i="3"/>
  <c r="AJ17" i="3" s="1"/>
  <c r="AN17" i="3"/>
  <c r="AI16" i="3"/>
  <c r="AL16" i="3" s="1"/>
  <c r="AG24" i="3"/>
  <c r="AJ24" i="3" s="1"/>
  <c r="AN24" i="3"/>
  <c r="AH20" i="3"/>
  <c r="AK20" i="3" s="1"/>
  <c r="AG23" i="3"/>
  <c r="AJ23" i="3" s="1"/>
  <c r="AN23" i="3"/>
  <c r="X16" i="3"/>
  <c r="AM16" i="3" s="1"/>
  <c r="X19" i="3"/>
  <c r="AM19" i="3" s="1"/>
  <c r="X17" i="3"/>
  <c r="AM17" i="3" s="1"/>
  <c r="S15" i="3"/>
  <c r="X15" i="3" s="1"/>
  <c r="AM15" i="3" s="1"/>
  <c r="AN15" i="3" s="1"/>
  <c r="S21" i="3"/>
  <c r="X21" i="3" s="1"/>
  <c r="AM21" i="3" s="1"/>
  <c r="S22" i="3"/>
  <c r="X22" i="3" s="1"/>
  <c r="AM22" i="3" s="1"/>
  <c r="S20" i="3"/>
  <c r="X20" i="3" s="1"/>
  <c r="AM20" i="3" s="1"/>
  <c r="S23" i="3"/>
  <c r="X23" i="3" s="1"/>
  <c r="AM23" i="3" s="1"/>
  <c r="S24" i="3"/>
  <c r="X24" i="3" s="1"/>
  <c r="AM24" i="3" s="1"/>
  <c r="S18" i="3"/>
  <c r="X18" i="3" s="1"/>
  <c r="AM18" i="3" s="1"/>
  <c r="AR19" i="3" l="1"/>
  <c r="AR15" i="3"/>
  <c r="AR16" i="3"/>
  <c r="AR17" i="3"/>
  <c r="AR20" i="3"/>
  <c r="AR18" i="3"/>
  <c r="AR24" i="3"/>
  <c r="AR23" i="3"/>
  <c r="AR22" i="3"/>
  <c r="AR21" i="3"/>
  <c r="J36" i="1"/>
  <c r="Q36" i="1" s="1"/>
  <c r="I36" i="1"/>
  <c r="M36" i="1" s="1"/>
  <c r="P36" i="1" s="1"/>
  <c r="F55" i="1"/>
  <c r="L55" i="1" s="1"/>
  <c r="S55" i="1" s="1"/>
  <c r="F52" i="1"/>
  <c r="L52" i="1" s="1"/>
  <c r="S52" i="1" s="1"/>
  <c r="F49" i="1"/>
  <c r="L49" i="1" s="1"/>
  <c r="S49" i="1" s="1"/>
  <c r="F50" i="1"/>
  <c r="L50" i="1" s="1"/>
  <c r="S50" i="1" s="1"/>
  <c r="F51" i="1"/>
  <c r="F53" i="1"/>
  <c r="L53" i="1" s="1"/>
  <c r="S53" i="1" s="1"/>
  <c r="F54" i="1"/>
  <c r="L54" i="1" s="1"/>
  <c r="S54" i="1" s="1"/>
  <c r="F56" i="1"/>
  <c r="L56" i="1" s="1"/>
  <c r="S56" i="1" s="1"/>
  <c r="F57" i="1"/>
  <c r="L57" i="1" s="1"/>
  <c r="S57" i="1" s="1"/>
  <c r="F58" i="1"/>
  <c r="L58" i="1" s="1"/>
  <c r="S58" i="1" s="1"/>
  <c r="L51" i="1"/>
  <c r="S51" i="1" s="1"/>
  <c r="K35" i="1"/>
  <c r="J35" i="1"/>
  <c r="I35" i="1"/>
  <c r="H35" i="1"/>
  <c r="U35" i="1" s="1"/>
  <c r="F35" i="1"/>
  <c r="L35" i="1" s="1"/>
  <c r="S35" i="1" s="1"/>
  <c r="G25" i="1"/>
  <c r="G24" i="1"/>
  <c r="G23" i="1"/>
  <c r="G22" i="1"/>
  <c r="G21" i="1"/>
  <c r="G20" i="1"/>
  <c r="G19" i="1"/>
  <c r="G18" i="1"/>
  <c r="G17" i="1"/>
  <c r="G16" i="1"/>
  <c r="N36" i="1" l="1"/>
  <c r="H36" i="1" l="1"/>
  <c r="M35" i="1"/>
  <c r="P35" i="1" s="1"/>
  <c r="F41" i="1" l="1"/>
  <c r="F36" i="1"/>
  <c r="H58" i="1" l="1"/>
  <c r="U58" i="1" s="1"/>
  <c r="H57" i="1"/>
  <c r="U57" i="1" s="1"/>
  <c r="H56" i="1"/>
  <c r="U56" i="1" s="1"/>
  <c r="H55" i="1"/>
  <c r="U55" i="1" s="1"/>
  <c r="H54" i="1"/>
  <c r="U54" i="1" s="1"/>
  <c r="H53" i="1"/>
  <c r="U53" i="1" s="1"/>
  <c r="H52" i="1"/>
  <c r="U52" i="1" s="1"/>
  <c r="H51" i="1"/>
  <c r="U51" i="1" s="1"/>
  <c r="H50" i="1"/>
  <c r="U50" i="1" s="1"/>
  <c r="H49" i="1"/>
  <c r="U49" i="1" s="1"/>
  <c r="K44" i="1"/>
  <c r="J44" i="1"/>
  <c r="I44" i="1"/>
  <c r="H44" i="1"/>
  <c r="U44" i="1" s="1"/>
  <c r="F44" i="1"/>
  <c r="L44" i="1" s="1"/>
  <c r="S44" i="1" s="1"/>
  <c r="K43" i="1"/>
  <c r="J43" i="1"/>
  <c r="I43" i="1"/>
  <c r="H43" i="1"/>
  <c r="U43" i="1" s="1"/>
  <c r="F43" i="1"/>
  <c r="L43" i="1" s="1"/>
  <c r="S43" i="1" s="1"/>
  <c r="K42" i="1"/>
  <c r="J42" i="1"/>
  <c r="I42" i="1"/>
  <c r="H42" i="1"/>
  <c r="U42" i="1" s="1"/>
  <c r="F42" i="1"/>
  <c r="L42" i="1" s="1"/>
  <c r="S42" i="1" s="1"/>
  <c r="K41" i="1"/>
  <c r="J41" i="1"/>
  <c r="I41" i="1"/>
  <c r="H41" i="1"/>
  <c r="U41" i="1" s="1"/>
  <c r="L41" i="1"/>
  <c r="S41" i="1" s="1"/>
  <c r="K40" i="1"/>
  <c r="J40" i="1"/>
  <c r="I40" i="1"/>
  <c r="H40" i="1"/>
  <c r="U40" i="1" s="1"/>
  <c r="F40" i="1"/>
  <c r="L40" i="1" s="1"/>
  <c r="S40" i="1" s="1"/>
  <c r="K39" i="1"/>
  <c r="J39" i="1"/>
  <c r="I39" i="1"/>
  <c r="H39" i="1"/>
  <c r="U39" i="1" s="1"/>
  <c r="F39" i="1"/>
  <c r="L39" i="1" s="1"/>
  <c r="S39" i="1" s="1"/>
  <c r="K38" i="1"/>
  <c r="J38" i="1"/>
  <c r="I38" i="1"/>
  <c r="H38" i="1"/>
  <c r="U38" i="1" s="1"/>
  <c r="F38" i="1"/>
  <c r="L38" i="1" s="1"/>
  <c r="S38" i="1" s="1"/>
  <c r="T37" i="1"/>
  <c r="K37" i="1"/>
  <c r="J37" i="1"/>
  <c r="I37" i="1"/>
  <c r="H37" i="1"/>
  <c r="U37" i="1" s="1"/>
  <c r="F37" i="1"/>
  <c r="L37" i="1" s="1"/>
  <c r="S37" i="1" s="1"/>
  <c r="T36" i="1"/>
  <c r="K36" i="1"/>
  <c r="U36" i="1"/>
  <c r="O35" i="1"/>
  <c r="R35" i="1" s="1"/>
  <c r="N35" i="1"/>
  <c r="Q35" i="1" s="1"/>
  <c r="N18" i="1"/>
  <c r="N17" i="1"/>
  <c r="N16" i="1"/>
  <c r="N15" i="1"/>
  <c r="N14" i="1"/>
  <c r="N12" i="1"/>
  <c r="N11" i="1"/>
  <c r="N10" i="1"/>
  <c r="N9" i="1"/>
  <c r="N8" i="1"/>
  <c r="N7" i="1"/>
  <c r="N6" i="1"/>
  <c r="N5" i="1"/>
  <c r="N4" i="1"/>
  <c r="T35" i="1" l="1"/>
  <c r="N13" i="1"/>
  <c r="O38" i="1"/>
  <c r="R38" i="1"/>
  <c r="O37" i="1"/>
  <c r="R37" i="1"/>
  <c r="N38" i="1"/>
  <c r="Q38" i="1"/>
  <c r="M39" i="1"/>
  <c r="P39" i="1" s="1"/>
  <c r="O43" i="1"/>
  <c r="R43" i="1"/>
  <c r="N44" i="1"/>
  <c r="Q44" i="1"/>
  <c r="M40" i="1"/>
  <c r="P40" i="1" s="1"/>
  <c r="T40" i="1" s="1"/>
  <c r="O39" i="1"/>
  <c r="R39" i="1"/>
  <c r="N40" i="1"/>
  <c r="Q40" i="1"/>
  <c r="M41" i="1"/>
  <c r="P41" i="1" s="1"/>
  <c r="N39" i="1"/>
  <c r="Q39" i="1"/>
  <c r="O40" i="1"/>
  <c r="R40" i="1"/>
  <c r="N41" i="1"/>
  <c r="Q41" i="1" s="1"/>
  <c r="M42" i="1"/>
  <c r="P42" i="1" s="1"/>
  <c r="O44" i="1"/>
  <c r="R44" i="1"/>
  <c r="M37" i="1"/>
  <c r="P37" i="1" s="1"/>
  <c r="O41" i="1"/>
  <c r="R41" i="1"/>
  <c r="N42" i="1"/>
  <c r="Q42" i="1" s="1"/>
  <c r="M43" i="1"/>
  <c r="P43" i="1" s="1"/>
  <c r="T43" i="1" s="1"/>
  <c r="O36" i="1"/>
  <c r="R36" i="1"/>
  <c r="N37" i="1"/>
  <c r="Q37" i="1"/>
  <c r="M38" i="1"/>
  <c r="P38" i="1" s="1"/>
  <c r="O42" i="1"/>
  <c r="R42" i="1"/>
  <c r="N43" i="1"/>
  <c r="Q43" i="1"/>
  <c r="M44" i="1"/>
  <c r="P44" i="1" s="1"/>
  <c r="L36" i="1"/>
  <c r="S36" i="1" s="1"/>
  <c r="V54" i="1"/>
  <c r="V51" i="1"/>
  <c r="V57" i="1"/>
  <c r="V49" i="1"/>
  <c r="V52" i="1"/>
  <c r="V55" i="1"/>
  <c r="V58" i="1"/>
  <c r="V50" i="1"/>
  <c r="V53" i="1"/>
  <c r="V56" i="1"/>
  <c r="T38" i="1" l="1"/>
  <c r="T44" i="1"/>
  <c r="T42" i="1"/>
  <c r="T41" i="1"/>
  <c r="T39" i="1"/>
  <c r="V42" i="1"/>
  <c r="V36" i="1"/>
  <c r="V41" i="1"/>
  <c r="V44" i="1"/>
  <c r="V38" i="1"/>
  <c r="V43" i="1"/>
  <c r="V35" i="1"/>
  <c r="V37" i="1"/>
  <c r="V40" i="1"/>
  <c r="V39" i="1"/>
  <c r="V60" i="1" s="1"/>
</calcChain>
</file>

<file path=xl/sharedStrings.xml><?xml version="1.0" encoding="utf-8"?>
<sst xmlns="http://schemas.openxmlformats.org/spreadsheetml/2006/main" count="259" uniqueCount="131">
  <si>
    <t>helyzet</t>
  </si>
  <si>
    <t>szélesség</t>
  </si>
  <si>
    <t>típus</t>
  </si>
  <si>
    <t>alsó</t>
  </si>
  <si>
    <t>felső</t>
  </si>
  <si>
    <t>fiókkód</t>
  </si>
  <si>
    <t>lapár</t>
  </si>
  <si>
    <t>szerelvényár</t>
  </si>
  <si>
    <t>össz</t>
  </si>
  <si>
    <t>polc árak</t>
  </si>
  <si>
    <t>Alsó szekrény</t>
  </si>
  <si>
    <t>egyben nyíló</t>
  </si>
  <si>
    <t>200A</t>
  </si>
  <si>
    <t>Alsó szekrény200</t>
  </si>
  <si>
    <t>Felső szekrény</t>
  </si>
  <si>
    <t>kétfelé nyíló</t>
  </si>
  <si>
    <t>200B</t>
  </si>
  <si>
    <t>Alsó szekrény300</t>
  </si>
  <si>
    <t>3 fiók</t>
  </si>
  <si>
    <t>200D</t>
  </si>
  <si>
    <t>Alsó szekrény400</t>
  </si>
  <si>
    <t>pánt ár</t>
  </si>
  <si>
    <t>4 fiók</t>
  </si>
  <si>
    <t>300A</t>
  </si>
  <si>
    <t>Alsó szekrény600</t>
  </si>
  <si>
    <t>5 fiók</t>
  </si>
  <si>
    <t>300B</t>
  </si>
  <si>
    <t>Alsó szekrény800</t>
  </si>
  <si>
    <t>megmunkálás ár</t>
  </si>
  <si>
    <t>300D</t>
  </si>
  <si>
    <t>400A</t>
  </si>
  <si>
    <t>400B</t>
  </si>
  <si>
    <t>400D</t>
  </si>
  <si>
    <t>600A</t>
  </si>
  <si>
    <t>600B</t>
  </si>
  <si>
    <t>600D</t>
  </si>
  <si>
    <t>800A</t>
  </si>
  <si>
    <t>800B</t>
  </si>
  <si>
    <t>800D</t>
  </si>
  <si>
    <t>Front m2</t>
  </si>
  <si>
    <t>Fiók árak</t>
  </si>
  <si>
    <t>no.</t>
  </si>
  <si>
    <t>DB</t>
  </si>
  <si>
    <t>Szélesség</t>
  </si>
  <si>
    <t>korpusz kód</t>
  </si>
  <si>
    <t>Típus</t>
  </si>
  <si>
    <t>Magasság</t>
  </si>
  <si>
    <t>Mélység</t>
  </si>
  <si>
    <t>A</t>
  </si>
  <si>
    <t>B</t>
  </si>
  <si>
    <t>D</t>
  </si>
  <si>
    <t>Polcok 2db</t>
  </si>
  <si>
    <t>Korpusz ár</t>
  </si>
  <si>
    <t>Fiókkal</t>
  </si>
  <si>
    <t>*Hozzávetőleges ár frontokhoz</t>
  </si>
  <si>
    <t>*Összesen</t>
  </si>
  <si>
    <t>Összesítés</t>
  </si>
  <si>
    <t>Front m2 ár</t>
  </si>
  <si>
    <t>Kérjük balról jobbra haladva töltsék a táblázatot</t>
  </si>
  <si>
    <t>Famire Rapid Korpusz Megrendelőlap</t>
  </si>
  <si>
    <t>Jelenleg elérhető korpuszaink</t>
  </si>
  <si>
    <t>A lista folyamatosan bővül, figyelje a verziószámot!</t>
  </si>
  <si>
    <t>Verzió érvényességének kezdete:</t>
  </si>
  <si>
    <t>Egyben nyíló alsó</t>
  </si>
  <si>
    <t>Alsó</t>
  </si>
  <si>
    <t>Szélességek</t>
  </si>
  <si>
    <t>(front nélkül)</t>
  </si>
  <si>
    <t>Felső</t>
  </si>
  <si>
    <t>Elérhető kialakítások</t>
  </si>
  <si>
    <t>2 polccal, polconként 3 pozícióval.</t>
  </si>
  <si>
    <t>Jobbra/balra szerelhető ajtóval.</t>
  </si>
  <si>
    <t>600-as szélességig</t>
  </si>
  <si>
    <t>Kétfelé nyíló alsó</t>
  </si>
  <si>
    <t>400-as szélesség alatt nem javasolt</t>
  </si>
  <si>
    <t>400-as szélesség alatt nem javasolt.</t>
  </si>
  <si>
    <t>3 fiókos</t>
  </si>
  <si>
    <t>4 fiókos</t>
  </si>
  <si>
    <t>1db FDS DF A 500</t>
  </si>
  <si>
    <t>2db FDS DF D 500</t>
  </si>
  <si>
    <t>4db FDS DF B 500</t>
  </si>
  <si>
    <t>5 fiókos</t>
  </si>
  <si>
    <t>5db FDS DF A 500</t>
  </si>
  <si>
    <t>Egyben nyíló felső</t>
  </si>
  <si>
    <t>3 polccal, polconként 3 pozícióval.</t>
  </si>
  <si>
    <t>Kétfelé nyíló felső</t>
  </si>
  <si>
    <t>magasság</t>
  </si>
  <si>
    <t>Polcok 2-3db</t>
  </si>
  <si>
    <t>200/1000</t>
  </si>
  <si>
    <t>300/1000</t>
  </si>
  <si>
    <t>400/1000</t>
  </si>
  <si>
    <t>600/1000</t>
  </si>
  <si>
    <t>800/1000</t>
  </si>
  <si>
    <t>200/800</t>
  </si>
  <si>
    <t>300/800</t>
  </si>
  <si>
    <t>400/800</t>
  </si>
  <si>
    <t>600/800</t>
  </si>
  <si>
    <t>800/800</t>
  </si>
  <si>
    <t>200/600</t>
  </si>
  <si>
    <t>300/600</t>
  </si>
  <si>
    <t>400/600</t>
  </si>
  <si>
    <t>600/600</t>
  </si>
  <si>
    <t>800/600</t>
  </si>
  <si>
    <t>600-as magasságnál 2 polccal.</t>
  </si>
  <si>
    <t>bal hossz</t>
  </si>
  <si>
    <t>bal szél</t>
  </si>
  <si>
    <t>alj hossz</t>
  </si>
  <si>
    <t>alj szél</t>
  </si>
  <si>
    <t>merevítő hossz</t>
  </si>
  <si>
    <t>merevítő szél</t>
  </si>
  <si>
    <t>hátlap hossz</t>
  </si>
  <si>
    <t>hátlap szél</t>
  </si>
  <si>
    <t>polc hossz</t>
  </si>
  <si>
    <t>polc szél</t>
  </si>
  <si>
    <t>Polcok</t>
  </si>
  <si>
    <t>nyíló</t>
  </si>
  <si>
    <t>össz m2</t>
  </si>
  <si>
    <t>A min</t>
  </si>
  <si>
    <t>B min</t>
  </si>
  <si>
    <t>D min</t>
  </si>
  <si>
    <t>hely hiba</t>
  </si>
  <si>
    <t>Fiókmélység</t>
  </si>
  <si>
    <t>vasalat</t>
  </si>
  <si>
    <t>fióklap</t>
  </si>
  <si>
    <t>m2</t>
  </si>
  <si>
    <t>pántok</t>
  </si>
  <si>
    <t>furatolás</t>
  </si>
  <si>
    <t>megmunkálás</t>
  </si>
  <si>
    <t xml:space="preserve">pánt </t>
  </si>
  <si>
    <t>fiók ár</t>
  </si>
  <si>
    <t>Tető hossz</t>
  </si>
  <si>
    <t>Tető szél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</si>
</sst>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Ft&quot;"/>
  </numFmts>
  <fonts count="9">
    <font>
      <sz val="11"/>
      <color theme="1"/>
      <name val="Calibri"/>
      <family val="2"/>
      <charset val="238"/>
      <scheme val="minor"/>
    </font>
    <font>
      <sz val="11"/>
      <color theme="1"/>
      <name val="Caibri"/>
      <charset val="238"/>
    </font>
    <font>
      <sz val="11"/>
      <name val="Calibri"/>
      <family val="2"/>
      <charset val="238"/>
      <scheme val="minor"/>
    </font>
    <font>
      <b/>
      <sz val="14"/>
      <name val="Caibri"/>
      <charset val="238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4"/>
      <color theme="0"/>
      <name val="Calibri"/>
      <family val="2"/>
      <charset val="238"/>
      <scheme val="minor"/>
    </font>
    <font>
      <sz val="9"/>
      <color rgb="FF595959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79998168889431442"/>
        <bgColor indexed="64"/>
      </patternFill>
    </fill>
  </fills>
  <borders count="105">
    <border>
      <left/>
      <right/>
      <top/>
      <bottom/>
      <diagonal/>
    </border>
    <border>
      <left/>
      <right/>
      <top/>
      <bottom style="thick">
        <color theme="5" tint="0.39997558519241921"/>
      </bottom>
      <diagonal/>
    </border>
    <border>
      <left style="medium">
        <color theme="5" tint="0.39997558519241921"/>
      </left>
      <right/>
      <top style="medium">
        <color theme="5" tint="0.39997558519241921"/>
      </top>
      <bottom/>
      <diagonal/>
    </border>
    <border>
      <left/>
      <right style="medium">
        <color theme="5" tint="0.39997558519241921"/>
      </right>
      <top style="medium">
        <color theme="5" tint="0.39997558519241921"/>
      </top>
      <bottom/>
      <diagonal/>
    </border>
    <border>
      <left style="medium">
        <color theme="5" tint="0.39997558519241921"/>
      </left>
      <right/>
      <top style="medium">
        <color theme="5" tint="0.39997558519241921"/>
      </top>
      <bottom style="medium">
        <color theme="5" tint="0.39997558519241921"/>
      </bottom>
      <diagonal/>
    </border>
    <border>
      <left/>
      <right/>
      <top style="medium">
        <color theme="5" tint="0.39997558519241921"/>
      </top>
      <bottom style="medium">
        <color theme="5" tint="0.39997558519241921"/>
      </bottom>
      <diagonal/>
    </border>
    <border>
      <left/>
      <right style="medium">
        <color theme="5" tint="0.39997558519241921"/>
      </right>
      <top style="medium">
        <color theme="5" tint="0.39997558519241921"/>
      </top>
      <bottom style="medium">
        <color theme="5" tint="0.39997558519241921"/>
      </bottom>
      <diagonal/>
    </border>
    <border>
      <left/>
      <right style="medium">
        <color theme="5" tint="0.39997558519241921"/>
      </right>
      <top/>
      <bottom/>
      <diagonal/>
    </border>
    <border>
      <left style="medium">
        <color theme="5" tint="0.39997558519241921"/>
      </left>
      <right style="thin">
        <color theme="5" tint="0.39997558519241921"/>
      </right>
      <top style="medium">
        <color theme="5" tint="0.39997558519241921"/>
      </top>
      <bottom style="medium">
        <color theme="5" tint="0.39997558519241921"/>
      </bottom>
      <diagonal/>
    </border>
    <border>
      <left style="medium">
        <color theme="5" tint="0.39997558519241921"/>
      </left>
      <right/>
      <top/>
      <bottom/>
      <diagonal/>
    </border>
    <border>
      <left style="thick">
        <color theme="5" tint="0.39997558519241921"/>
      </left>
      <right style="thick">
        <color theme="5" tint="0.39997558519241921"/>
      </right>
      <top/>
      <bottom/>
      <diagonal/>
    </border>
    <border>
      <left/>
      <right style="thick">
        <color theme="5" tint="0.39997558519241921"/>
      </right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medium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medium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medium">
        <color theme="4" tint="0.39997558519241921"/>
      </top>
      <bottom style="thin">
        <color theme="4" tint="0.39997558519241921"/>
      </bottom>
      <diagonal/>
    </border>
    <border>
      <left style="thick">
        <color theme="5" tint="0.39997558519241921"/>
      </left>
      <right style="thick">
        <color theme="5" tint="0.39997558519241921"/>
      </right>
      <top style="medium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 style="thick">
        <color theme="5" tint="0.39997558519241921"/>
      </right>
      <top style="medium">
        <color theme="4" tint="0.39997558519241921"/>
      </top>
      <bottom style="thin">
        <color theme="4" tint="0.39997558519241921"/>
      </bottom>
      <diagonal/>
    </border>
    <border>
      <left/>
      <right style="medium">
        <color theme="5" tint="0.39997558519241921"/>
      </right>
      <top style="medium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 style="thick">
        <color theme="5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ck">
        <color theme="5" tint="0.39997558519241921"/>
      </left>
      <right style="thick">
        <color theme="5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medium">
        <color theme="5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medium">
        <color theme="5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medium">
        <color theme="5" tint="0.39997558519241921"/>
      </bottom>
      <diagonal/>
    </border>
    <border>
      <left style="thin">
        <color theme="4" tint="0.39997558519241921"/>
      </left>
      <right style="thick">
        <color theme="5" tint="0.39997558519241921"/>
      </right>
      <top style="thin">
        <color theme="4" tint="0.39997558519241921"/>
      </top>
      <bottom style="medium">
        <color theme="5" tint="0.39997558519241921"/>
      </bottom>
      <diagonal/>
    </border>
    <border>
      <left style="thick">
        <color theme="5" tint="0.39997558519241921"/>
      </left>
      <right style="thick">
        <color theme="5" tint="0.39997558519241921"/>
      </right>
      <top style="thin">
        <color theme="4" tint="0.39997558519241921"/>
      </top>
      <bottom style="medium">
        <color theme="5" tint="0.39997558519241921"/>
      </bottom>
      <diagonal/>
    </border>
    <border>
      <left style="thick">
        <color theme="5" tint="0.39997558519241921"/>
      </left>
      <right/>
      <top style="thick">
        <color theme="5" tint="0.39997558519241921"/>
      </top>
      <bottom style="thick">
        <color theme="5" tint="0.39997558519241921"/>
      </bottom>
      <diagonal/>
    </border>
    <border>
      <left/>
      <right style="thick">
        <color theme="5" tint="0.39997558519241921"/>
      </right>
      <top style="thick">
        <color theme="5" tint="0.39997558519241921"/>
      </top>
      <bottom style="thick">
        <color theme="5" tint="0.39997558519241921"/>
      </bottom>
      <diagonal/>
    </border>
    <border>
      <left style="medium">
        <color theme="5" tint="0.39997558519241921"/>
      </left>
      <right style="medium">
        <color theme="5" tint="0.39997558519241921"/>
      </right>
      <top style="medium">
        <color theme="5" tint="0.39997558519241921"/>
      </top>
      <bottom style="medium">
        <color theme="5" tint="0.39997558519241921"/>
      </bottom>
      <diagonal/>
    </border>
    <border>
      <left style="medium">
        <color theme="5" tint="0.39997558519241921"/>
      </left>
      <right style="thin">
        <color theme="5" tint="0.39997558519241921"/>
      </right>
      <top/>
      <bottom style="medium">
        <color theme="5" tint="0.39997558519241921"/>
      </bottom>
      <diagonal/>
    </border>
    <border>
      <left style="thin">
        <color theme="5" tint="0.39997558519241921"/>
      </left>
      <right style="thin">
        <color theme="5" tint="0.39997558519241921"/>
      </right>
      <top/>
      <bottom style="medium">
        <color theme="5" tint="0.39997558519241921"/>
      </bottom>
      <diagonal/>
    </border>
    <border>
      <left style="thin">
        <color theme="5" tint="0.39997558519241921"/>
      </left>
      <right style="medium">
        <color theme="5" tint="0.39997558519241921"/>
      </right>
      <top/>
      <bottom style="medium">
        <color theme="5" tint="0.39997558519241921"/>
      </bottom>
      <diagonal/>
    </border>
    <border>
      <left/>
      <right style="thin">
        <color theme="5" tint="0.39997558519241921"/>
      </right>
      <top/>
      <bottom style="thin">
        <color theme="5" tint="0.39997558519241921"/>
      </bottom>
      <diagonal/>
    </border>
    <border>
      <left style="thin">
        <color theme="5" tint="0.39997558519241921"/>
      </left>
      <right style="thin">
        <color theme="5" tint="0.39997558519241921"/>
      </right>
      <top/>
      <bottom style="thin">
        <color theme="5" tint="0.39997558519241921"/>
      </bottom>
      <diagonal/>
    </border>
    <border>
      <left style="thin">
        <color theme="5" tint="0.39997558519241921"/>
      </left>
      <right/>
      <top/>
      <bottom style="thin">
        <color theme="5" tint="0.39997558519241921"/>
      </bottom>
      <diagonal/>
    </border>
    <border>
      <left style="thick">
        <color theme="5" tint="0.39997558519241921"/>
      </left>
      <right style="thick">
        <color theme="5" tint="0.39997558519241921"/>
      </right>
      <top/>
      <bottom style="medium">
        <color theme="5" tint="0.39997558519241921"/>
      </bottom>
      <diagonal/>
    </border>
    <border>
      <left style="thin">
        <color theme="5" tint="0.39997558519241921"/>
      </left>
      <right style="thick">
        <color theme="5" tint="0.39997558519241921"/>
      </right>
      <top/>
      <bottom style="medium">
        <color theme="5" tint="0.39997558519241921"/>
      </bottom>
      <diagonal/>
    </border>
    <border>
      <left style="thick">
        <color theme="5" tint="0.39997558519241921"/>
      </left>
      <right style="thick">
        <color theme="5" tint="0.39997558519241921"/>
      </right>
      <top/>
      <bottom style="thin">
        <color theme="5" tint="0.39997558519241921"/>
      </bottom>
      <diagonal/>
    </border>
    <border>
      <left/>
      <right style="medium">
        <color theme="5" tint="0.39997558519241921"/>
      </right>
      <top/>
      <bottom style="thin">
        <color theme="5" tint="0.39997558519241921"/>
      </bottom>
      <diagonal/>
    </border>
    <border>
      <left/>
      <right style="thin">
        <color theme="5" tint="0.39997558519241921"/>
      </right>
      <top/>
      <bottom style="medium">
        <color theme="5" tint="0.39997558519241921"/>
      </bottom>
      <diagonal/>
    </border>
    <border>
      <left style="thin">
        <color theme="5" tint="0.39997558519241921"/>
      </left>
      <right/>
      <top/>
      <bottom style="medium">
        <color theme="5" tint="0.39997558519241921"/>
      </bottom>
      <diagonal/>
    </border>
    <border>
      <left/>
      <right style="medium">
        <color theme="5" tint="0.39997558519241921"/>
      </right>
      <top/>
      <bottom style="medium">
        <color theme="5" tint="0.39997558519241921"/>
      </bottom>
      <diagonal/>
    </border>
    <border>
      <left style="thick">
        <color theme="5" tint="0.39997558519241921"/>
      </left>
      <right style="thick">
        <color theme="5" tint="0.39997558519241921"/>
      </right>
      <top style="medium">
        <color theme="4" tint="0.39997558519241921"/>
      </top>
      <bottom style="medium">
        <color theme="5" tint="0.39997558519241921"/>
      </bottom>
      <diagonal/>
    </border>
    <border>
      <left/>
      <right style="medium">
        <color theme="5" tint="0.39997558519241921"/>
      </right>
      <top style="medium">
        <color theme="4" tint="0.39997558519241921"/>
      </top>
      <bottom style="medium">
        <color theme="5" tint="0.39997558519241921"/>
      </bottom>
      <diagonal/>
    </border>
    <border>
      <left style="medium">
        <color theme="4" tint="0.39997558519241921"/>
      </left>
      <right style="medium">
        <color theme="4" tint="0.39997558519241921"/>
      </right>
      <top style="medium">
        <color theme="4" tint="0.39997558519241921"/>
      </top>
      <bottom style="medium">
        <color theme="4" tint="0.39997558519241921"/>
      </bottom>
      <diagonal/>
    </border>
    <border>
      <left style="medium">
        <color theme="4" tint="0.39997558519241921"/>
      </left>
      <right/>
      <top style="medium">
        <color theme="4" tint="0.39997558519241921"/>
      </top>
      <bottom style="medium">
        <color theme="4" tint="0.39997558519241921"/>
      </bottom>
      <diagonal/>
    </border>
    <border>
      <left/>
      <right style="medium">
        <color theme="4" tint="0.39997558519241921"/>
      </right>
      <top style="medium">
        <color theme="4" tint="0.39997558519241921"/>
      </top>
      <bottom style="medium">
        <color theme="4" tint="0.39997558519241921"/>
      </bottom>
      <diagonal/>
    </border>
    <border>
      <left/>
      <right/>
      <top style="medium">
        <color theme="4" tint="0.39997558519241921"/>
      </top>
      <bottom style="medium">
        <color theme="4" tint="0.39997558519241921"/>
      </bottom>
      <diagonal/>
    </border>
    <border>
      <left style="medium">
        <color theme="4" tint="0.39997558519241921"/>
      </left>
      <right style="medium">
        <color theme="4" tint="0.39997558519241921"/>
      </right>
      <top style="medium">
        <color theme="4" tint="0.39997558519241921"/>
      </top>
      <bottom style="thin">
        <color theme="4" tint="0.39997558519241921"/>
      </bottom>
      <diagonal/>
    </border>
    <border>
      <left style="medium">
        <color theme="4" tint="0.39997558519241921"/>
      </left>
      <right style="medium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medium">
        <color theme="4" tint="0.39997558519241921"/>
      </left>
      <right style="medium">
        <color theme="4" tint="0.39997558519241921"/>
      </right>
      <top style="thin">
        <color theme="4" tint="0.39997558519241921"/>
      </top>
      <bottom style="medium">
        <color theme="4" tint="0.39997558519241921"/>
      </bottom>
      <diagonal/>
    </border>
    <border>
      <left style="medium">
        <color theme="4" tint="0.39997558519241921"/>
      </left>
      <right style="medium">
        <color theme="4" tint="0.39997558519241921"/>
      </right>
      <top/>
      <bottom style="thin">
        <color theme="4" tint="0.39997558519241921"/>
      </bottom>
      <diagonal/>
    </border>
    <border>
      <left style="medium">
        <color theme="4" tint="0.39997558519241921"/>
      </left>
      <right style="medium">
        <color theme="4" tint="0.39997558519241921"/>
      </right>
      <top/>
      <bottom style="medium">
        <color theme="4" tint="0.39997558519241921"/>
      </bottom>
      <diagonal/>
    </border>
    <border>
      <left style="medium">
        <color theme="4" tint="0.39997558519241921"/>
      </left>
      <right style="medium">
        <color theme="4" tint="0.39997558519241921"/>
      </right>
      <top style="medium">
        <color theme="4" tint="0.39997558519241921"/>
      </top>
      <bottom/>
      <diagonal/>
    </border>
    <border>
      <left style="medium">
        <color theme="4" tint="0.39997558519241921"/>
      </left>
      <right style="medium">
        <color theme="4" tint="0.39997558519241921"/>
      </right>
      <top/>
      <bottom/>
      <diagonal/>
    </border>
    <border>
      <left style="medium">
        <color theme="4" tint="0.39997558519241921"/>
      </left>
      <right style="thin">
        <color theme="4" tint="0.39997558519241921"/>
      </right>
      <top style="medium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 style="medium">
        <color theme="4" tint="0.39997558519241921"/>
      </right>
      <top style="medium">
        <color theme="4" tint="0.39997558519241921"/>
      </top>
      <bottom style="thin">
        <color theme="4" tint="0.39997558519241921"/>
      </bottom>
      <diagonal/>
    </border>
    <border>
      <left style="medium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medium">
        <color theme="4" tint="0.39997558519241921"/>
      </bottom>
      <diagonal/>
    </border>
    <border>
      <left style="thin">
        <color theme="4" tint="0.39997558519241921"/>
      </left>
      <right style="medium">
        <color theme="4" tint="0.39997558519241921"/>
      </right>
      <top style="thin">
        <color theme="4" tint="0.39997558519241921"/>
      </top>
      <bottom style="medium">
        <color theme="4" tint="0.39997558519241921"/>
      </bottom>
      <diagonal/>
    </border>
    <border>
      <left/>
      <right style="medium">
        <color theme="4" tint="0.39997558519241921"/>
      </right>
      <top style="medium">
        <color theme="4" tint="0.39997558519241921"/>
      </top>
      <bottom style="thin">
        <color theme="4" tint="0.39997558519241921"/>
      </bottom>
      <diagonal/>
    </border>
    <border>
      <left style="medium">
        <color theme="5" tint="0.39997558519241921"/>
      </left>
      <right/>
      <top style="medium">
        <color theme="4" tint="0.39997558519241921"/>
      </top>
      <bottom style="thin">
        <color theme="4" tint="0.39997558519241921"/>
      </bottom>
      <diagonal/>
    </border>
    <border>
      <left style="medium">
        <color theme="5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 style="medium">
        <color theme="5" tint="0.39997558519241921"/>
      </left>
      <right/>
      <top style="thin">
        <color theme="4" tint="0.39997558519241921"/>
      </top>
      <bottom style="medium">
        <color theme="5" tint="0.39997558519241921"/>
      </bottom>
      <diagonal/>
    </border>
    <border>
      <left style="thin">
        <color theme="4" tint="0.59999389629810485"/>
      </left>
      <right style="thin">
        <color theme="4" tint="0.59999389629810485"/>
      </right>
      <top style="thin">
        <color theme="4" tint="0.59999389629810485"/>
      </top>
      <bottom style="thin">
        <color theme="4" tint="0.59999389629810485"/>
      </bottom>
      <diagonal/>
    </border>
    <border>
      <left style="thin">
        <color theme="4" tint="0.59999389629810485"/>
      </left>
      <right style="thin">
        <color theme="4" tint="0.59999389629810485"/>
      </right>
      <top/>
      <bottom style="thin">
        <color theme="4" tint="0.59999389629810485"/>
      </bottom>
      <diagonal/>
    </border>
    <border>
      <left/>
      <right/>
      <top style="medium">
        <color theme="5" tint="0.39997558519241921"/>
      </top>
      <bottom style="medium">
        <color theme="4" tint="0.39997558519241921"/>
      </bottom>
      <diagonal/>
    </border>
    <border>
      <left style="thin">
        <color theme="4" tint="0.59999389629810485"/>
      </left>
      <right style="thin">
        <color theme="4" tint="0.59999389629810485"/>
      </right>
      <top style="medium">
        <color theme="4" tint="0.39997558519241921"/>
      </top>
      <bottom style="thin">
        <color theme="4" tint="0.59999389629810485"/>
      </bottom>
      <diagonal/>
    </border>
    <border>
      <left/>
      <right/>
      <top style="thin">
        <color theme="5" tint="0.39997558519241921"/>
      </top>
      <bottom style="medium">
        <color theme="4" tint="0.39997558519241921"/>
      </bottom>
      <diagonal/>
    </border>
    <border>
      <left style="thin">
        <color theme="4" tint="0.59999389629810485"/>
      </left>
      <right style="thin">
        <color theme="4" tint="0.59999389629810485"/>
      </right>
      <top style="thin">
        <color theme="4" tint="0.59999389629810485"/>
      </top>
      <bottom style="medium">
        <color theme="5" tint="0.39997558519241921"/>
      </bottom>
      <diagonal/>
    </border>
    <border>
      <left/>
      <right/>
      <top style="medium">
        <color theme="5" tint="0.39997558519241921"/>
      </top>
      <bottom/>
      <diagonal/>
    </border>
    <border>
      <left style="thin">
        <color theme="4" tint="0.59999389629810485"/>
      </left>
      <right style="thin">
        <color theme="4" tint="0.59999389629810485"/>
      </right>
      <top style="thin">
        <color theme="4" tint="0.59999389629810485"/>
      </top>
      <bottom/>
      <diagonal/>
    </border>
    <border>
      <left/>
      <right/>
      <top/>
      <bottom style="medium">
        <color theme="4" tint="0.39997558519241921"/>
      </bottom>
      <diagonal/>
    </border>
    <border>
      <left/>
      <right style="medium">
        <color theme="4" tint="0.39997558519241921"/>
      </right>
      <top style="thin">
        <color theme="4" tint="0.39997558519241921"/>
      </top>
      <bottom style="medium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medium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medium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theme="5" tint="0.39997558519241921"/>
      </left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/>
      <right/>
      <top style="medium">
        <color theme="4" tint="0.39997558519241921"/>
      </top>
      <bottom/>
      <diagonal/>
    </border>
    <border>
      <left style="thin">
        <color theme="4" tint="0.39997558519241921"/>
      </left>
      <right/>
      <top style="medium">
        <color theme="4" tint="0.39997558519241921"/>
      </top>
      <bottom/>
      <diagonal/>
    </border>
    <border>
      <left/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5" tint="0.39997558519241921"/>
      </left>
      <right style="thin">
        <color theme="5" tint="0.39997558519241921"/>
      </right>
      <top style="medium">
        <color theme="5" tint="0.39997558519241921"/>
      </top>
      <bottom style="medium">
        <color theme="5" tint="0.39997558519241921"/>
      </bottom>
      <diagonal/>
    </border>
    <border>
      <left style="thin">
        <color theme="5" tint="0.39997558519241921"/>
      </left>
      <right style="medium">
        <color theme="5" tint="0.39997558519241921"/>
      </right>
      <top style="medium">
        <color theme="5" tint="0.39997558519241921"/>
      </top>
      <bottom style="medium">
        <color theme="5" tint="0.39997558519241921"/>
      </bottom>
      <diagonal/>
    </border>
    <border>
      <left style="medium">
        <color theme="5" tint="0.39997558519241921"/>
      </left>
      <right style="medium">
        <color theme="5" tint="0.39997558519241921"/>
      </right>
      <top style="medium">
        <color theme="5" tint="0.39997558519241921"/>
      </top>
      <bottom/>
      <diagonal/>
    </border>
    <border>
      <left style="medium">
        <color theme="5" tint="0.39997558519241921"/>
      </left>
      <right style="medium">
        <color theme="5" tint="0.39997558519241921"/>
      </right>
      <top/>
      <bottom style="medium">
        <color theme="5" tint="0.39997558519241921"/>
      </bottom>
      <diagonal/>
    </border>
    <border>
      <left style="thin">
        <color theme="5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 style="medium">
        <color theme="5" tint="0.39997558519241921"/>
      </left>
      <right style="medium">
        <color theme="5" tint="0.39997558519241921"/>
      </right>
      <top/>
      <bottom style="medium">
        <color theme="4" tint="0.39997558519241921"/>
      </bottom>
      <diagonal/>
    </border>
    <border>
      <left style="medium">
        <color theme="5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medium">
        <color theme="5" tint="0.39997558519241921"/>
      </left>
      <right/>
      <top/>
      <bottom style="medium">
        <color theme="4" tint="0.39997558519241921"/>
      </bottom>
      <diagonal/>
    </border>
    <border>
      <left/>
      <right style="thick">
        <color theme="5" tint="0.39997558519241921"/>
      </right>
      <top/>
      <bottom style="medium">
        <color theme="4" tint="0.39997558519241921"/>
      </bottom>
      <diagonal/>
    </border>
    <border>
      <left/>
      <right style="medium">
        <color theme="5" tint="0.39997558519241921"/>
      </right>
      <top/>
      <bottom style="medium">
        <color theme="4" tint="0.39997558519241921"/>
      </bottom>
      <diagonal/>
    </border>
    <border>
      <left style="thin">
        <color theme="4" tint="0.39997558519241921"/>
      </left>
      <right style="medium">
        <color theme="5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medium">
        <color theme="5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 style="medium">
        <color theme="5" tint="0.39997558519241921"/>
      </right>
      <top style="thin">
        <color theme="4" tint="0.39997558519241921"/>
      </top>
      <bottom style="medium">
        <color theme="5" tint="0.39997558519241921"/>
      </bottom>
      <diagonal/>
    </border>
    <border>
      <left style="medium">
        <color theme="5" tint="0.39997558519241921"/>
      </left>
      <right style="medium">
        <color theme="5" tint="0.39997558519241921"/>
      </right>
      <top/>
      <bottom style="thin">
        <color theme="4" tint="0.39997558519241921"/>
      </bottom>
      <diagonal/>
    </border>
    <border>
      <left style="medium">
        <color theme="5" tint="0.39997558519241921"/>
      </left>
      <right style="medium">
        <color theme="5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medium">
        <color theme="5" tint="0.39997558519241921"/>
      </left>
      <right style="medium">
        <color theme="5" tint="0.39997558519241921"/>
      </right>
      <top style="thin">
        <color theme="4" tint="0.39997558519241921"/>
      </top>
      <bottom style="medium">
        <color theme="5" tint="0.39997558519241921"/>
      </bottom>
      <diagonal/>
    </border>
    <border>
      <left style="medium">
        <color theme="5" tint="0.39997558519241921"/>
      </left>
      <right style="thick">
        <color theme="5" tint="0.39997558519241921"/>
      </right>
      <top/>
      <bottom style="medium">
        <color theme="4" tint="0.39997558519241921"/>
      </bottom>
      <diagonal/>
    </border>
    <border>
      <left style="medium">
        <color theme="5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medium">
        <color theme="5" tint="0.39997558519241921"/>
      </left>
      <right style="thin">
        <color theme="4" tint="0.39997558519241921"/>
      </right>
      <top style="thin">
        <color theme="4" tint="0.39997558519241921"/>
      </top>
      <bottom style="medium">
        <color theme="5" tint="0.39997558519241921"/>
      </bottom>
      <diagonal/>
    </border>
    <border>
      <left style="thick">
        <color theme="5" tint="0.39997558519241921"/>
      </left>
      <right/>
      <top/>
      <bottom style="medium">
        <color theme="4" tint="0.39997558519241921"/>
      </bottom>
      <diagonal/>
    </border>
  </borders>
  <cellStyleXfs count="1">
    <xf numFmtId="0" fontId="0" fillId="0" borderId="0"/>
  </cellStyleXfs>
  <cellXfs count="230">
    <xf numFmtId="0" fontId="0" fillId="0" borderId="0" xfId="0"/>
    <xf numFmtId="0" fontId="0" fillId="0" borderId="0" xfId="0" applyProtection="1"/>
    <xf numFmtId="164" fontId="0" fillId="0" borderId="0" xfId="0" applyNumberFormat="1" applyProtection="1"/>
    <xf numFmtId="164" fontId="0" fillId="0" borderId="0" xfId="0" applyNumberFormat="1" applyFont="1" applyProtection="1"/>
    <xf numFmtId="0" fontId="1" fillId="0" borderId="0" xfId="0" applyFont="1" applyProtection="1"/>
    <xf numFmtId="0" fontId="0" fillId="3" borderId="2" xfId="0" applyFont="1" applyFill="1" applyBorder="1" applyProtection="1"/>
    <xf numFmtId="0" fontId="0" fillId="0" borderId="0" xfId="0" applyFont="1" applyFill="1" applyBorder="1" applyProtection="1"/>
    <xf numFmtId="0" fontId="0" fillId="3" borderId="8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center" vertical="center"/>
    </xf>
    <xf numFmtId="0" fontId="0" fillId="0" borderId="9" xfId="0" applyFont="1" applyFill="1" applyBorder="1" applyAlignment="1" applyProtection="1">
      <alignment horizontal="center" vertical="center"/>
    </xf>
    <xf numFmtId="0" fontId="0" fillId="0" borderId="10" xfId="0" applyFont="1" applyFill="1" applyBorder="1" applyAlignment="1" applyProtection="1">
      <alignment horizontal="center" vertical="center"/>
    </xf>
    <xf numFmtId="0" fontId="0" fillId="0" borderId="11" xfId="0" applyFont="1" applyFill="1" applyBorder="1" applyAlignment="1" applyProtection="1">
      <alignment horizontal="center" vertical="center"/>
    </xf>
    <xf numFmtId="0" fontId="0" fillId="0" borderId="10" xfId="0" applyFont="1" applyFill="1" applyBorder="1" applyAlignment="1" applyProtection="1">
      <alignment horizontal="center" vertical="center" wrapText="1"/>
    </xf>
    <xf numFmtId="0" fontId="0" fillId="0" borderId="7" xfId="0" applyFont="1" applyFill="1" applyBorder="1" applyAlignment="1" applyProtection="1">
      <alignment horizontal="center" vertical="center"/>
    </xf>
    <xf numFmtId="0" fontId="0" fillId="0" borderId="12" xfId="0" applyFont="1" applyFill="1" applyBorder="1" applyAlignment="1" applyProtection="1">
      <alignment horizontal="center" vertical="center"/>
    </xf>
    <xf numFmtId="0" fontId="0" fillId="0" borderId="14" xfId="0" applyFont="1" applyFill="1" applyBorder="1" applyAlignment="1" applyProtection="1">
      <alignment horizontal="center" vertical="center"/>
    </xf>
    <xf numFmtId="164" fontId="0" fillId="4" borderId="15" xfId="0" applyNumberFormat="1" applyFont="1" applyFill="1" applyBorder="1" applyAlignment="1" applyProtection="1">
      <alignment horizontal="center" vertical="center"/>
    </xf>
    <xf numFmtId="0" fontId="0" fillId="4" borderId="13" xfId="0" applyFont="1" applyFill="1" applyBorder="1" applyAlignment="1" applyProtection="1">
      <alignment horizontal="center" vertical="center"/>
    </xf>
    <xf numFmtId="0" fontId="0" fillId="4" borderId="12" xfId="0" applyFont="1" applyFill="1" applyBorder="1" applyAlignment="1" applyProtection="1">
      <alignment horizontal="center" vertical="center"/>
    </xf>
    <xf numFmtId="164" fontId="0" fillId="4" borderId="12" xfId="0" applyNumberFormat="1" applyFont="1" applyFill="1" applyBorder="1" applyAlignment="1" applyProtection="1">
      <alignment horizontal="center" vertical="center"/>
    </xf>
    <xf numFmtId="164" fontId="0" fillId="4" borderId="16" xfId="0" applyNumberFormat="1" applyFont="1" applyFill="1" applyBorder="1" applyAlignment="1" applyProtection="1">
      <alignment horizontal="center" vertical="center"/>
    </xf>
    <xf numFmtId="164" fontId="0" fillId="4" borderId="17" xfId="0" applyNumberFormat="1" applyFont="1" applyFill="1" applyBorder="1" applyAlignment="1" applyProtection="1">
      <alignment horizontal="center" vertical="center"/>
    </xf>
    <xf numFmtId="0" fontId="0" fillId="0" borderId="18" xfId="0" applyFont="1" applyFill="1" applyBorder="1" applyAlignment="1" applyProtection="1">
      <alignment horizontal="center" vertical="center"/>
    </xf>
    <xf numFmtId="0" fontId="0" fillId="0" borderId="20" xfId="0" applyFont="1" applyFill="1" applyBorder="1" applyAlignment="1" applyProtection="1">
      <alignment horizontal="center" vertical="center"/>
    </xf>
    <xf numFmtId="0" fontId="0" fillId="4" borderId="19" xfId="0" applyFont="1" applyFill="1" applyBorder="1" applyAlignment="1" applyProtection="1">
      <alignment horizontal="center" vertical="center"/>
    </xf>
    <xf numFmtId="0" fontId="0" fillId="4" borderId="18" xfId="0" applyFont="1" applyFill="1" applyBorder="1" applyAlignment="1" applyProtection="1">
      <alignment horizontal="center" vertical="center"/>
    </xf>
    <xf numFmtId="164" fontId="0" fillId="4" borderId="22" xfId="0" applyNumberFormat="1" applyFont="1" applyFill="1" applyBorder="1" applyAlignment="1" applyProtection="1">
      <alignment horizontal="center" vertical="center"/>
    </xf>
    <xf numFmtId="0" fontId="0" fillId="0" borderId="23" xfId="0" applyFont="1" applyFill="1" applyBorder="1" applyAlignment="1" applyProtection="1">
      <alignment horizontal="center" vertical="center"/>
    </xf>
    <xf numFmtId="0" fontId="0" fillId="0" borderId="25" xfId="0" applyFont="1" applyFill="1" applyBorder="1" applyAlignment="1" applyProtection="1">
      <alignment horizontal="center" vertical="center"/>
    </xf>
    <xf numFmtId="0" fontId="0" fillId="4" borderId="24" xfId="0" applyFont="1" applyFill="1" applyBorder="1" applyAlignment="1" applyProtection="1">
      <alignment horizontal="center" vertical="center"/>
    </xf>
    <xf numFmtId="0" fontId="0" fillId="4" borderId="23" xfId="0" applyFont="1" applyFill="1" applyBorder="1" applyAlignment="1" applyProtection="1">
      <alignment horizontal="center" vertical="center"/>
    </xf>
    <xf numFmtId="164" fontId="0" fillId="4" borderId="27" xfId="0" applyNumberFormat="1" applyFont="1" applyFill="1" applyBorder="1" applyAlignment="1" applyProtection="1">
      <alignment horizontal="center" vertical="center"/>
    </xf>
    <xf numFmtId="164" fontId="0" fillId="5" borderId="12" xfId="0" applyNumberFormat="1" applyFont="1" applyFill="1" applyBorder="1" applyAlignment="1" applyProtection="1">
      <alignment horizontal="center" vertical="center"/>
    </xf>
    <xf numFmtId="164" fontId="0" fillId="5" borderId="16" xfId="0" applyNumberFormat="1" applyFont="1" applyFill="1" applyBorder="1" applyAlignment="1" applyProtection="1">
      <alignment horizontal="center" vertical="center"/>
    </xf>
    <xf numFmtId="164" fontId="0" fillId="5" borderId="15" xfId="0" applyNumberFormat="1" applyFont="1" applyFill="1" applyBorder="1" applyAlignment="1" applyProtection="1">
      <alignment horizontal="center" vertical="center"/>
    </xf>
    <xf numFmtId="164" fontId="0" fillId="5" borderId="18" xfId="0" applyNumberFormat="1" applyFont="1" applyFill="1" applyBorder="1" applyAlignment="1" applyProtection="1">
      <alignment horizontal="center" vertical="center"/>
    </xf>
    <xf numFmtId="164" fontId="0" fillId="5" borderId="21" xfId="0" applyNumberFormat="1" applyFont="1" applyFill="1" applyBorder="1" applyAlignment="1" applyProtection="1">
      <alignment horizontal="center" vertical="center"/>
    </xf>
    <xf numFmtId="164" fontId="0" fillId="5" borderId="22" xfId="0" applyNumberFormat="1" applyFont="1" applyFill="1" applyBorder="1" applyAlignment="1" applyProtection="1">
      <alignment horizontal="center" vertical="center"/>
    </xf>
    <xf numFmtId="164" fontId="0" fillId="5" borderId="23" xfId="0" applyNumberFormat="1" applyFont="1" applyFill="1" applyBorder="1" applyAlignment="1" applyProtection="1">
      <alignment horizontal="center" vertical="center"/>
    </xf>
    <xf numFmtId="164" fontId="0" fillId="5" borderId="26" xfId="0" applyNumberFormat="1" applyFont="1" applyFill="1" applyBorder="1" applyAlignment="1" applyProtection="1">
      <alignment horizontal="center" vertical="center"/>
    </xf>
    <xf numFmtId="164" fontId="0" fillId="5" borderId="27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Protection="1"/>
    <xf numFmtId="0" fontId="0" fillId="5" borderId="28" xfId="0" applyFont="1" applyFill="1" applyBorder="1" applyProtection="1"/>
    <xf numFmtId="164" fontId="0" fillId="4" borderId="29" xfId="0" applyNumberFormat="1" applyFont="1" applyFill="1" applyBorder="1" applyProtection="1"/>
    <xf numFmtId="0" fontId="0" fillId="0" borderId="0" xfId="0" applyFill="1" applyBorder="1" applyProtection="1"/>
    <xf numFmtId="0" fontId="1" fillId="0" borderId="0" xfId="0" applyFont="1" applyAlignment="1" applyProtection="1">
      <alignment horizontal="center" vertical="center" wrapText="1"/>
    </xf>
    <xf numFmtId="0" fontId="0" fillId="3" borderId="31" xfId="0" applyFont="1" applyFill="1" applyBorder="1" applyAlignment="1" applyProtection="1">
      <alignment horizontal="center" vertical="center"/>
    </xf>
    <xf numFmtId="0" fontId="0" fillId="3" borderId="32" xfId="0" applyFont="1" applyFill="1" applyBorder="1" applyAlignment="1" applyProtection="1">
      <alignment horizontal="center" vertical="center"/>
    </xf>
    <xf numFmtId="0" fontId="0" fillId="3" borderId="33" xfId="0" applyFont="1" applyFill="1" applyBorder="1" applyAlignment="1" applyProtection="1">
      <alignment horizontal="center" vertical="center"/>
    </xf>
    <xf numFmtId="0" fontId="0" fillId="3" borderId="34" xfId="0" applyFont="1" applyFill="1" applyBorder="1" applyAlignment="1" applyProtection="1">
      <alignment horizontal="center" vertical="center"/>
    </xf>
    <xf numFmtId="0" fontId="0" fillId="3" borderId="35" xfId="0" applyFont="1" applyFill="1" applyBorder="1" applyAlignment="1" applyProtection="1">
      <alignment horizontal="center" vertical="center"/>
    </xf>
    <xf numFmtId="0" fontId="0" fillId="3" borderId="36" xfId="0" applyFont="1" applyFill="1" applyBorder="1" applyAlignment="1" applyProtection="1">
      <alignment horizontal="center" vertical="center"/>
    </xf>
    <xf numFmtId="0" fontId="0" fillId="3" borderId="37" xfId="0" applyFont="1" applyFill="1" applyBorder="1" applyAlignment="1" applyProtection="1">
      <alignment horizontal="center" vertical="center"/>
    </xf>
    <xf numFmtId="0" fontId="0" fillId="3" borderId="38" xfId="0" applyFont="1" applyFill="1" applyBorder="1" applyAlignment="1" applyProtection="1">
      <alignment horizontal="center" vertical="center"/>
    </xf>
    <xf numFmtId="0" fontId="0" fillId="3" borderId="39" xfId="0" applyFont="1" applyFill="1" applyBorder="1" applyAlignment="1" applyProtection="1">
      <alignment horizontal="center" vertical="center"/>
    </xf>
    <xf numFmtId="0" fontId="0" fillId="3" borderId="39" xfId="0" applyFont="1" applyFill="1" applyBorder="1" applyAlignment="1" applyProtection="1">
      <alignment horizontal="center" vertical="center" wrapText="1"/>
    </xf>
    <xf numFmtId="0" fontId="0" fillId="3" borderId="40" xfId="0" applyFont="1" applyFill="1" applyBorder="1" applyAlignment="1" applyProtection="1">
      <alignment horizontal="center" vertical="center"/>
    </xf>
    <xf numFmtId="0" fontId="0" fillId="3" borderId="4" xfId="0" applyFont="1" applyFill="1" applyBorder="1" applyProtection="1"/>
    <xf numFmtId="0" fontId="0" fillId="3" borderId="5" xfId="0" applyFont="1" applyFill="1" applyBorder="1" applyAlignment="1" applyProtection="1">
      <alignment vertical="center"/>
    </xf>
    <xf numFmtId="0" fontId="0" fillId="3" borderId="6" xfId="0" applyFont="1" applyFill="1" applyBorder="1" applyProtection="1"/>
    <xf numFmtId="0" fontId="0" fillId="0" borderId="5" xfId="0" applyFont="1" applyFill="1" applyBorder="1" applyProtection="1"/>
    <xf numFmtId="0" fontId="0" fillId="2" borderId="5" xfId="0" applyFont="1" applyFill="1" applyBorder="1" applyProtection="1"/>
    <xf numFmtId="164" fontId="0" fillId="0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ont="1" applyFill="1" applyBorder="1" applyProtection="1"/>
    <xf numFmtId="0" fontId="0" fillId="2" borderId="31" xfId="0" applyFont="1" applyFill="1" applyBorder="1" applyAlignment="1" applyProtection="1">
      <alignment horizontal="center" vertical="center"/>
    </xf>
    <xf numFmtId="0" fontId="0" fillId="2" borderId="32" xfId="0" applyFont="1" applyFill="1" applyBorder="1" applyAlignment="1" applyProtection="1">
      <alignment horizontal="center" vertical="center"/>
    </xf>
    <xf numFmtId="0" fontId="0" fillId="2" borderId="38" xfId="0" applyFont="1" applyFill="1" applyBorder="1" applyAlignment="1" applyProtection="1">
      <alignment horizontal="center" vertical="center"/>
    </xf>
    <xf numFmtId="0" fontId="1" fillId="2" borderId="5" xfId="0" applyFont="1" applyFill="1" applyBorder="1" applyProtection="1"/>
    <xf numFmtId="0" fontId="1" fillId="2" borderId="3" xfId="0" applyFont="1" applyFill="1" applyBorder="1" applyProtection="1"/>
    <xf numFmtId="0" fontId="0" fillId="2" borderId="37" xfId="0" applyFont="1" applyFill="1" applyBorder="1" applyAlignment="1" applyProtection="1">
      <alignment horizontal="center" vertical="center"/>
    </xf>
    <xf numFmtId="0" fontId="0" fillId="3" borderId="41" xfId="0" applyFont="1" applyFill="1" applyBorder="1" applyAlignment="1" applyProtection="1">
      <alignment horizontal="center" vertical="center"/>
    </xf>
    <xf numFmtId="0" fontId="0" fillId="3" borderId="42" xfId="0" applyFont="1" applyFill="1" applyBorder="1" applyAlignment="1" applyProtection="1">
      <alignment horizontal="center" vertical="center"/>
    </xf>
    <xf numFmtId="0" fontId="0" fillId="3" borderId="37" xfId="0" applyFont="1" applyFill="1" applyBorder="1" applyAlignment="1" applyProtection="1">
      <alignment horizontal="center" vertical="center" wrapText="1"/>
    </xf>
    <xf numFmtId="0" fontId="0" fillId="3" borderId="43" xfId="0" applyFont="1" applyFill="1" applyBorder="1" applyAlignment="1" applyProtection="1">
      <alignment horizontal="center" vertical="center"/>
    </xf>
    <xf numFmtId="164" fontId="0" fillId="4" borderId="44" xfId="0" applyNumberFormat="1" applyFont="1" applyFill="1" applyBorder="1" applyAlignment="1" applyProtection="1">
      <alignment horizontal="center" vertical="center"/>
    </xf>
    <xf numFmtId="164" fontId="0" fillId="4" borderId="45" xfId="0" applyNumberFormat="1" applyFont="1" applyFill="1" applyBorder="1" applyAlignment="1" applyProtection="1">
      <alignment horizontal="center" vertical="center"/>
    </xf>
    <xf numFmtId="0" fontId="1" fillId="3" borderId="30" xfId="0" applyFont="1" applyFill="1" applyBorder="1" applyAlignment="1" applyProtection="1">
      <alignment horizontal="center" vertical="center" wrapText="1"/>
    </xf>
    <xf numFmtId="0" fontId="0" fillId="0" borderId="0" xfId="0" applyBorder="1"/>
    <xf numFmtId="0" fontId="0" fillId="0" borderId="0" xfId="0" applyFont="1" applyBorder="1"/>
    <xf numFmtId="0" fontId="2" fillId="0" borderId="0" xfId="0" applyFont="1" applyFill="1" applyBorder="1"/>
    <xf numFmtId="0" fontId="0" fillId="0" borderId="0" xfId="0" applyFill="1" applyBorder="1"/>
    <xf numFmtId="0" fontId="0" fillId="0" borderId="0" xfId="0" applyFill="1"/>
    <xf numFmtId="14" fontId="1" fillId="0" borderId="0" xfId="0" applyNumberFormat="1" applyFont="1" applyFill="1" applyBorder="1" applyAlignment="1" applyProtection="1">
      <alignment vertical="center"/>
    </xf>
    <xf numFmtId="14" fontId="1" fillId="3" borderId="46" xfId="0" applyNumberFormat="1" applyFont="1" applyFill="1" applyBorder="1" applyAlignment="1" applyProtection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46" xfId="0" applyFill="1" applyBorder="1" applyAlignment="1">
      <alignment horizontal="center"/>
    </xf>
    <xf numFmtId="0" fontId="0" fillId="0" borderId="46" xfId="0" applyBorder="1" applyAlignment="1">
      <alignment horizontal="center"/>
    </xf>
    <xf numFmtId="0" fontId="0" fillId="7" borderId="53" xfId="0" applyFill="1" applyBorder="1" applyAlignment="1">
      <alignment horizontal="center"/>
    </xf>
    <xf numFmtId="0" fontId="0" fillId="7" borderId="51" xfId="0" applyFill="1" applyBorder="1" applyAlignment="1">
      <alignment horizontal="center"/>
    </xf>
    <xf numFmtId="0" fontId="0" fillId="7" borderId="52" xfId="0" applyFill="1" applyBorder="1" applyAlignment="1">
      <alignment horizontal="center"/>
    </xf>
    <xf numFmtId="0" fontId="0" fillId="7" borderId="54" xfId="0" applyFill="1" applyBorder="1" applyAlignment="1">
      <alignment horizontal="center"/>
    </xf>
    <xf numFmtId="0" fontId="4" fillId="7" borderId="46" xfId="0" applyFont="1" applyFill="1" applyBorder="1" applyAlignment="1">
      <alignment horizontal="center" vertical="center"/>
    </xf>
    <xf numFmtId="0" fontId="0" fillId="7" borderId="46" xfId="0" applyFill="1" applyBorder="1"/>
    <xf numFmtId="0" fontId="0" fillId="6" borderId="55" xfId="0" applyFill="1" applyBorder="1"/>
    <xf numFmtId="0" fontId="0" fillId="6" borderId="56" xfId="0" applyFill="1" applyBorder="1"/>
    <xf numFmtId="0" fontId="2" fillId="6" borderId="56" xfId="0" applyFont="1" applyFill="1" applyBorder="1"/>
    <xf numFmtId="0" fontId="0" fillId="7" borderId="57" xfId="0" applyFill="1" applyBorder="1"/>
    <xf numFmtId="0" fontId="2" fillId="7" borderId="58" xfId="0" applyFont="1" applyFill="1" applyBorder="1"/>
    <xf numFmtId="0" fontId="0" fillId="7" borderId="59" xfId="0" applyFill="1" applyBorder="1"/>
    <xf numFmtId="0" fontId="2" fillId="7" borderId="60" xfId="0" applyFont="1" applyFill="1" applyBorder="1"/>
    <xf numFmtId="0" fontId="0" fillId="7" borderId="50" xfId="0" applyFill="1" applyBorder="1"/>
    <xf numFmtId="0" fontId="0" fillId="7" borderId="52" xfId="0" applyFill="1" applyBorder="1"/>
    <xf numFmtId="0" fontId="0" fillId="7" borderId="61" xfId="0" applyFill="1" applyBorder="1"/>
    <xf numFmtId="0" fontId="0" fillId="3" borderId="5" xfId="0" applyFont="1" applyFill="1" applyBorder="1" applyProtection="1"/>
    <xf numFmtId="0" fontId="0" fillId="3" borderId="12" xfId="0" applyFont="1" applyFill="1" applyBorder="1" applyAlignment="1" applyProtection="1">
      <alignment horizontal="center" vertical="center"/>
    </xf>
    <xf numFmtId="0" fontId="0" fillId="3" borderId="18" xfId="0" applyFont="1" applyFill="1" applyBorder="1" applyAlignment="1" applyProtection="1">
      <alignment horizontal="center" vertical="center"/>
    </xf>
    <xf numFmtId="0" fontId="0" fillId="3" borderId="23" xfId="0" applyFont="1" applyFill="1" applyBorder="1" applyAlignment="1" applyProtection="1">
      <alignment horizontal="center" vertical="center"/>
    </xf>
    <xf numFmtId="164" fontId="0" fillId="2" borderId="5" xfId="0" applyNumberFormat="1" applyFont="1" applyFill="1" applyBorder="1" applyAlignment="1" applyProtection="1">
      <alignment horizontal="center" vertical="center"/>
    </xf>
    <xf numFmtId="0" fontId="0" fillId="3" borderId="62" xfId="0" applyFont="1" applyFill="1" applyBorder="1" applyAlignment="1" applyProtection="1">
      <alignment horizontal="center" vertical="center"/>
    </xf>
    <xf numFmtId="0" fontId="0" fillId="3" borderId="63" xfId="0" applyFont="1" applyFill="1" applyBorder="1" applyAlignment="1" applyProtection="1">
      <alignment horizontal="center" vertical="center"/>
    </xf>
    <xf numFmtId="0" fontId="0" fillId="3" borderId="64" xfId="0" applyFont="1" applyFill="1" applyBorder="1" applyAlignment="1" applyProtection="1">
      <alignment horizontal="center" vertical="center"/>
    </xf>
    <xf numFmtId="0" fontId="0" fillId="3" borderId="13" xfId="0" applyFont="1" applyFill="1" applyBorder="1" applyAlignment="1" applyProtection="1">
      <alignment horizontal="center" vertical="center"/>
    </xf>
    <xf numFmtId="0" fontId="0" fillId="3" borderId="19" xfId="0" applyFont="1" applyFill="1" applyBorder="1" applyAlignment="1" applyProtection="1">
      <alignment horizontal="center" vertical="center"/>
    </xf>
    <xf numFmtId="0" fontId="0" fillId="3" borderId="24" xfId="0" applyFont="1" applyFill="1" applyBorder="1" applyAlignment="1" applyProtection="1">
      <alignment horizontal="center" vertical="center"/>
    </xf>
    <xf numFmtId="0" fontId="0" fillId="0" borderId="65" xfId="0" applyFont="1" applyFill="1" applyBorder="1" applyAlignment="1" applyProtection="1">
      <alignment horizontal="center" vertical="center"/>
      <protection locked="0"/>
    </xf>
    <xf numFmtId="2" fontId="0" fillId="0" borderId="13" xfId="0" applyNumberFormat="1" applyFont="1" applyFill="1" applyBorder="1" applyAlignment="1" applyProtection="1">
      <alignment horizontal="center" vertical="center"/>
    </xf>
    <xf numFmtId="2" fontId="0" fillId="0" borderId="19" xfId="0" applyNumberFormat="1" applyFont="1" applyFill="1" applyBorder="1" applyAlignment="1" applyProtection="1">
      <alignment horizontal="center" vertical="center"/>
    </xf>
    <xf numFmtId="2" fontId="0" fillId="0" borderId="24" xfId="0" applyNumberFormat="1" applyFont="1" applyFill="1" applyBorder="1" applyAlignment="1" applyProtection="1">
      <alignment horizontal="center" vertical="center"/>
    </xf>
    <xf numFmtId="0" fontId="0" fillId="0" borderId="66" xfId="0" applyFont="1" applyFill="1" applyBorder="1" applyAlignment="1" applyProtection="1">
      <alignment horizontal="center" vertical="center"/>
      <protection locked="0"/>
    </xf>
    <xf numFmtId="0" fontId="0" fillId="0" borderId="67" xfId="0" applyFont="1" applyFill="1" applyBorder="1" applyAlignment="1" applyProtection="1">
      <alignment horizontal="center" vertical="center"/>
    </xf>
    <xf numFmtId="0" fontId="0" fillId="0" borderId="68" xfId="0" applyFont="1" applyFill="1" applyBorder="1" applyAlignment="1" applyProtection="1">
      <alignment horizontal="center" vertical="center"/>
      <protection locked="0"/>
    </xf>
    <xf numFmtId="0" fontId="0" fillId="0" borderId="69" xfId="0" applyFont="1" applyFill="1" applyBorder="1" applyAlignment="1" applyProtection="1">
      <alignment horizontal="center" vertical="center"/>
    </xf>
    <xf numFmtId="0" fontId="0" fillId="0" borderId="70" xfId="0" applyFont="1" applyFill="1" applyBorder="1" applyAlignment="1" applyProtection="1">
      <alignment horizontal="center" vertical="center"/>
      <protection locked="0"/>
    </xf>
    <xf numFmtId="0" fontId="0" fillId="0" borderId="72" xfId="0" applyFont="1" applyFill="1" applyBorder="1" applyAlignment="1" applyProtection="1">
      <alignment horizontal="center" vertical="center"/>
      <protection locked="0"/>
    </xf>
    <xf numFmtId="0" fontId="0" fillId="0" borderId="71" xfId="0" applyFont="1" applyFill="1" applyBorder="1" applyProtection="1"/>
    <xf numFmtId="0" fontId="0" fillId="7" borderId="50" xfId="0" applyFill="1" applyBorder="1" applyAlignment="1">
      <alignment horizontal="center"/>
    </xf>
    <xf numFmtId="0" fontId="0" fillId="7" borderId="74" xfId="0" applyFill="1" applyBorder="1"/>
    <xf numFmtId="0" fontId="0" fillId="0" borderId="49" xfId="0" applyFill="1" applyBorder="1"/>
    <xf numFmtId="0" fontId="0" fillId="7" borderId="75" xfId="0" applyFill="1" applyBorder="1"/>
    <xf numFmtId="0" fontId="0" fillId="7" borderId="19" xfId="0" applyFill="1" applyBorder="1"/>
    <xf numFmtId="0" fontId="0" fillId="0" borderId="56" xfId="0" applyFill="1" applyBorder="1"/>
    <xf numFmtId="0" fontId="0" fillId="0" borderId="73" xfId="0" applyBorder="1"/>
    <xf numFmtId="0" fontId="0" fillId="7" borderId="58" xfId="0" applyFill="1" applyBorder="1"/>
    <xf numFmtId="0" fontId="0" fillId="7" borderId="76" xfId="0" applyFill="1" applyBorder="1"/>
    <xf numFmtId="0" fontId="0" fillId="7" borderId="60" xfId="0" applyFill="1" applyBorder="1"/>
    <xf numFmtId="0" fontId="0" fillId="0" borderId="56" xfId="0" applyBorder="1"/>
    <xf numFmtId="0" fontId="0" fillId="7" borderId="77" xfId="0" applyFill="1" applyBorder="1"/>
    <xf numFmtId="0" fontId="0" fillId="0" borderId="19" xfId="0" applyFont="1" applyFill="1" applyBorder="1" applyAlignment="1" applyProtection="1">
      <alignment horizontal="center" vertical="center"/>
    </xf>
    <xf numFmtId="0" fontId="0" fillId="0" borderId="78" xfId="0" applyFont="1" applyFill="1" applyBorder="1" applyAlignment="1" applyProtection="1">
      <alignment horizontal="center" vertical="center"/>
    </xf>
    <xf numFmtId="0" fontId="0" fillId="0" borderId="79" xfId="0" applyFont="1" applyFill="1" applyBorder="1" applyAlignment="1" applyProtection="1">
      <alignment horizontal="center" vertical="center"/>
    </xf>
    <xf numFmtId="0" fontId="0" fillId="3" borderId="0" xfId="0" applyFont="1" applyFill="1" applyBorder="1" applyAlignment="1" applyProtection="1">
      <alignment horizontal="center" vertical="center"/>
    </xf>
    <xf numFmtId="1" fontId="0" fillId="0" borderId="0" xfId="0" applyNumberFormat="1" applyProtection="1"/>
    <xf numFmtId="0" fontId="1" fillId="0" borderId="0" xfId="0" applyFont="1" applyBorder="1" applyProtection="1"/>
    <xf numFmtId="0" fontId="0" fillId="0" borderId="18" xfId="0" applyFont="1" applyFill="1" applyBorder="1" applyAlignment="1" applyProtection="1">
      <alignment horizontal="center" vertical="center"/>
      <protection locked="0"/>
    </xf>
    <xf numFmtId="2" fontId="0" fillId="0" borderId="18" xfId="0" applyNumberFormat="1" applyFont="1" applyFill="1" applyBorder="1" applyAlignment="1" applyProtection="1">
      <alignment horizontal="center" vertical="center"/>
    </xf>
    <xf numFmtId="164" fontId="0" fillId="4" borderId="18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>
      <alignment shrinkToFit="1"/>
    </xf>
    <xf numFmtId="0" fontId="1" fillId="0" borderId="0" xfId="0" applyFont="1" applyFill="1" applyProtection="1"/>
    <xf numFmtId="0" fontId="7" fillId="0" borderId="0" xfId="0" applyFont="1" applyFill="1" applyBorder="1" applyAlignment="1" applyProtection="1">
      <alignment horizontal="center" vertical="center"/>
    </xf>
    <xf numFmtId="0" fontId="0" fillId="3" borderId="71" xfId="0" applyFont="1" applyFill="1" applyBorder="1" applyAlignment="1" applyProtection="1">
      <alignment vertical="center"/>
    </xf>
    <xf numFmtId="0" fontId="0" fillId="3" borderId="3" xfId="0" applyFont="1" applyFill="1" applyBorder="1" applyProtection="1"/>
    <xf numFmtId="0" fontId="0" fillId="3" borderId="80" xfId="0" applyFont="1" applyFill="1" applyBorder="1" applyAlignment="1" applyProtection="1">
      <alignment horizontal="center" vertical="center"/>
    </xf>
    <xf numFmtId="0" fontId="0" fillId="3" borderId="83" xfId="0" applyFont="1" applyFill="1" applyBorder="1" applyAlignment="1" applyProtection="1">
      <alignment horizontal="center" vertical="center"/>
    </xf>
    <xf numFmtId="0" fontId="0" fillId="3" borderId="84" xfId="0" applyFont="1" applyFill="1" applyBorder="1" applyAlignment="1" applyProtection="1">
      <alignment horizontal="center" vertical="center"/>
    </xf>
    <xf numFmtId="0" fontId="0" fillId="3" borderId="85" xfId="0" applyFont="1" applyFill="1" applyBorder="1" applyAlignment="1" applyProtection="1">
      <alignment horizontal="center" vertical="center"/>
    </xf>
    <xf numFmtId="0" fontId="1" fillId="3" borderId="0" xfId="0" applyFont="1" applyFill="1" applyProtection="1"/>
    <xf numFmtId="0" fontId="0" fillId="3" borderId="0" xfId="0" applyFont="1" applyFill="1" applyBorder="1" applyProtection="1"/>
    <xf numFmtId="164" fontId="0" fillId="3" borderId="82" xfId="0" applyNumberFormat="1" applyFont="1" applyFill="1" applyBorder="1" applyAlignment="1" applyProtection="1">
      <alignment horizontal="center" vertical="center"/>
    </xf>
    <xf numFmtId="0" fontId="0" fillId="2" borderId="0" xfId="0" applyFont="1" applyFill="1" applyBorder="1" applyProtection="1"/>
    <xf numFmtId="0" fontId="1" fillId="3" borderId="4" xfId="0" applyFont="1" applyFill="1" applyBorder="1" applyAlignment="1" applyProtection="1">
      <alignment horizontal="center" vertical="center" wrapText="1"/>
    </xf>
    <xf numFmtId="164" fontId="0" fillId="3" borderId="81" xfId="0" applyNumberFormat="1" applyFont="1" applyFill="1" applyBorder="1" applyAlignment="1" applyProtection="1">
      <alignment horizontal="center" vertical="center"/>
    </xf>
    <xf numFmtId="0" fontId="1" fillId="2" borderId="4" xfId="0" applyFont="1" applyFill="1" applyBorder="1" applyProtection="1"/>
    <xf numFmtId="0" fontId="1" fillId="2" borderId="6" xfId="0" applyFont="1" applyFill="1" applyBorder="1" applyProtection="1"/>
    <xf numFmtId="0" fontId="0" fillId="2" borderId="4" xfId="0" applyFont="1" applyFill="1" applyBorder="1" applyProtection="1"/>
    <xf numFmtId="0" fontId="1" fillId="2" borderId="86" xfId="0" applyFont="1" applyFill="1" applyBorder="1" applyProtection="1"/>
    <xf numFmtId="0" fontId="0" fillId="2" borderId="87" xfId="0" applyFont="1" applyFill="1" applyBorder="1" applyProtection="1"/>
    <xf numFmtId="0" fontId="0" fillId="3" borderId="88" xfId="0" applyFont="1" applyFill="1" applyBorder="1" applyAlignment="1" applyProtection="1">
      <alignment horizontal="center" vertical="center"/>
    </xf>
    <xf numFmtId="0" fontId="0" fillId="3" borderId="30" xfId="0" applyFont="1" applyFill="1" applyBorder="1" applyAlignment="1" applyProtection="1">
      <alignment horizontal="center" vertical="center"/>
    </xf>
    <xf numFmtId="0" fontId="0" fillId="3" borderId="83" xfId="0" applyNumberFormat="1" applyFont="1" applyFill="1" applyBorder="1" applyAlignment="1" applyProtection="1">
      <alignment horizontal="center" vertical="center" wrapText="1"/>
    </xf>
    <xf numFmtId="0" fontId="0" fillId="3" borderId="88" xfId="0" applyNumberFormat="1" applyFont="1" applyFill="1" applyBorder="1" applyAlignment="1" applyProtection="1">
      <alignment horizontal="center" vertical="center" wrapText="1"/>
    </xf>
    <xf numFmtId="0" fontId="0" fillId="3" borderId="30" xfId="0" applyFont="1" applyFill="1" applyBorder="1" applyAlignment="1" applyProtection="1">
      <alignment horizontal="center" vertical="center" wrapText="1"/>
    </xf>
    <xf numFmtId="0" fontId="0" fillId="2" borderId="71" xfId="0" applyFont="1" applyFill="1" applyBorder="1" applyProtection="1"/>
    <xf numFmtId="0" fontId="0" fillId="2" borderId="81" xfId="0" applyFont="1" applyFill="1" applyBorder="1" applyAlignment="1" applyProtection="1">
      <alignment horizontal="center" vertical="center"/>
    </xf>
    <xf numFmtId="0" fontId="0" fillId="3" borderId="90" xfId="0" applyFont="1" applyFill="1" applyBorder="1" applyAlignment="1" applyProtection="1">
      <alignment horizontal="center" vertical="center"/>
    </xf>
    <xf numFmtId="0" fontId="0" fillId="0" borderId="91" xfId="0" applyFont="1" applyFill="1" applyBorder="1" applyAlignment="1" applyProtection="1">
      <alignment horizontal="center" vertical="center"/>
      <protection locked="0"/>
    </xf>
    <xf numFmtId="0" fontId="0" fillId="0" borderId="91" xfId="0" applyFont="1" applyFill="1" applyBorder="1" applyAlignment="1" applyProtection="1">
      <alignment horizontal="center" vertical="center"/>
    </xf>
    <xf numFmtId="2" fontId="0" fillId="0" borderId="91" xfId="0" applyNumberFormat="1" applyFont="1" applyFill="1" applyBorder="1" applyAlignment="1" applyProtection="1">
      <alignment horizontal="center" vertical="center"/>
    </xf>
    <xf numFmtId="0" fontId="0" fillId="0" borderId="92" xfId="0" applyFont="1" applyFill="1" applyBorder="1" applyAlignment="1" applyProtection="1">
      <alignment horizontal="center" vertical="center"/>
    </xf>
    <xf numFmtId="0" fontId="0" fillId="0" borderId="73" xfId="0" applyFont="1" applyFill="1" applyBorder="1" applyAlignment="1" applyProtection="1">
      <alignment horizontal="center" vertical="center"/>
    </xf>
    <xf numFmtId="0" fontId="0" fillId="0" borderId="93" xfId="0" applyFont="1" applyFill="1" applyBorder="1" applyAlignment="1" applyProtection="1">
      <alignment horizontal="center" vertical="center"/>
    </xf>
    <xf numFmtId="0" fontId="0" fillId="0" borderId="94" xfId="0" applyFont="1" applyFill="1" applyBorder="1" applyAlignment="1" applyProtection="1">
      <alignment horizontal="center" vertical="center"/>
    </xf>
    <xf numFmtId="0" fontId="0" fillId="0" borderId="75" xfId="0" applyFont="1" applyFill="1" applyBorder="1" applyAlignment="1" applyProtection="1">
      <alignment horizontal="center" vertical="center"/>
    </xf>
    <xf numFmtId="0" fontId="0" fillId="0" borderId="23" xfId="0" applyFont="1" applyFill="1" applyBorder="1" applyAlignment="1" applyProtection="1">
      <alignment horizontal="center" vertical="center"/>
      <protection locked="0"/>
    </xf>
    <xf numFmtId="0" fontId="0" fillId="0" borderId="89" xfId="0" applyFont="1" applyFill="1" applyBorder="1" applyAlignment="1" applyProtection="1">
      <alignment horizontal="center" vertical="center"/>
    </xf>
    <xf numFmtId="0" fontId="0" fillId="0" borderId="101" xfId="0" applyFont="1" applyFill="1" applyBorder="1" applyAlignment="1" applyProtection="1">
      <alignment horizontal="center" vertical="center"/>
    </xf>
    <xf numFmtId="0" fontId="0" fillId="0" borderId="104" xfId="0" applyFont="1" applyFill="1" applyBorder="1" applyAlignment="1" applyProtection="1">
      <alignment horizontal="center" vertical="center"/>
    </xf>
    <xf numFmtId="0" fontId="0" fillId="0" borderId="89" xfId="0" applyFont="1" applyFill="1" applyBorder="1" applyAlignment="1" applyProtection="1">
      <alignment horizontal="center" vertical="center" wrapText="1"/>
    </xf>
    <xf numFmtId="0" fontId="0" fillId="4" borderId="98" xfId="0" applyFont="1" applyFill="1" applyBorder="1" applyAlignment="1" applyProtection="1">
      <alignment horizontal="center" vertical="center"/>
    </xf>
    <xf numFmtId="164" fontId="0" fillId="4" borderId="75" xfId="0" applyNumberFormat="1" applyFont="1" applyFill="1" applyBorder="1" applyAlignment="1" applyProtection="1">
      <alignment horizontal="center" vertical="center"/>
    </xf>
    <xf numFmtId="164" fontId="0" fillId="4" borderId="91" xfId="0" applyNumberFormat="1" applyFont="1" applyFill="1" applyBorder="1" applyAlignment="1" applyProtection="1">
      <alignment horizontal="center" vertical="center"/>
    </xf>
    <xf numFmtId="164" fontId="0" fillId="4" borderId="78" xfId="0" applyNumberFormat="1" applyFont="1" applyFill="1" applyBorder="1" applyAlignment="1" applyProtection="1">
      <alignment horizontal="center" vertical="center"/>
    </xf>
    <xf numFmtId="164" fontId="0" fillId="4" borderId="102" xfId="0" applyNumberFormat="1" applyFont="1" applyFill="1" applyBorder="1" applyAlignment="1" applyProtection="1">
      <alignment horizontal="center" vertical="center"/>
    </xf>
    <xf numFmtId="164" fontId="0" fillId="4" borderId="95" xfId="0" applyNumberFormat="1" applyFont="1" applyFill="1" applyBorder="1" applyAlignment="1" applyProtection="1">
      <alignment horizontal="center" vertical="center"/>
    </xf>
    <xf numFmtId="164" fontId="0" fillId="4" borderId="98" xfId="0" applyNumberFormat="1" applyFont="1" applyFill="1" applyBorder="1" applyAlignment="1" applyProtection="1">
      <alignment horizontal="center" vertical="center"/>
    </xf>
    <xf numFmtId="0" fontId="0" fillId="4" borderId="75" xfId="0" applyFont="1" applyFill="1" applyBorder="1" applyAlignment="1" applyProtection="1">
      <alignment horizontal="center" vertical="center"/>
    </xf>
    <xf numFmtId="164" fontId="0" fillId="4" borderId="19" xfId="0" applyNumberFormat="1" applyFont="1" applyFill="1" applyBorder="1" applyAlignment="1" applyProtection="1">
      <alignment horizontal="center" vertical="center"/>
    </xf>
    <xf numFmtId="164" fontId="0" fillId="4" borderId="20" xfId="0" applyNumberFormat="1" applyFont="1" applyFill="1" applyBorder="1" applyAlignment="1" applyProtection="1">
      <alignment horizontal="center" vertical="center"/>
    </xf>
    <xf numFmtId="164" fontId="0" fillId="4" borderId="99" xfId="0" applyNumberFormat="1" applyFont="1" applyFill="1" applyBorder="1" applyAlignment="1" applyProtection="1">
      <alignment horizontal="center" vertical="center"/>
    </xf>
    <xf numFmtId="0" fontId="0" fillId="4" borderId="100" xfId="0" applyFont="1" applyFill="1" applyBorder="1" applyAlignment="1" applyProtection="1">
      <alignment horizontal="center" vertical="center"/>
    </xf>
    <xf numFmtId="164" fontId="0" fillId="4" borderId="103" xfId="0" applyNumberFormat="1" applyFont="1" applyFill="1" applyBorder="1" applyAlignment="1" applyProtection="1">
      <alignment horizontal="center" vertical="center"/>
    </xf>
    <xf numFmtId="164" fontId="0" fillId="4" borderId="23" xfId="0" applyNumberFormat="1" applyFont="1" applyFill="1" applyBorder="1" applyAlignment="1" applyProtection="1">
      <alignment horizontal="center" vertical="center"/>
    </xf>
    <xf numFmtId="164" fontId="0" fillId="4" borderId="97" xfId="0" applyNumberFormat="1" applyFont="1" applyFill="1" applyBorder="1" applyAlignment="1" applyProtection="1">
      <alignment horizontal="center" vertical="center"/>
    </xf>
    <xf numFmtId="164" fontId="0" fillId="4" borderId="100" xfId="0" applyNumberFormat="1" applyFont="1" applyFill="1" applyBorder="1" applyAlignment="1" applyProtection="1">
      <alignment horizontal="center" vertical="center"/>
    </xf>
    <xf numFmtId="164" fontId="0" fillId="4" borderId="24" xfId="0" applyNumberFormat="1" applyFont="1" applyFill="1" applyBorder="1" applyAlignment="1" applyProtection="1">
      <alignment horizontal="center" vertical="center"/>
    </xf>
    <xf numFmtId="164" fontId="0" fillId="4" borderId="25" xfId="0" applyNumberFormat="1" applyFont="1" applyFill="1" applyBorder="1" applyAlignment="1" applyProtection="1">
      <alignment horizontal="center" vertical="center"/>
    </xf>
    <xf numFmtId="0" fontId="1" fillId="3" borderId="0" xfId="0" applyFont="1" applyFill="1" applyAlignment="1" applyProtection="1">
      <alignment horizontal="center" vertical="center"/>
    </xf>
    <xf numFmtId="164" fontId="0" fillId="3" borderId="4" xfId="0" applyNumberFormat="1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 readingOrder="1"/>
    </xf>
    <xf numFmtId="1" fontId="0" fillId="0" borderId="91" xfId="0" applyNumberFormat="1" applyFont="1" applyFill="1" applyBorder="1" applyAlignment="1" applyProtection="1">
      <alignment horizontal="center" vertical="center"/>
      <protection locked="0"/>
    </xf>
    <xf numFmtId="0" fontId="0" fillId="0" borderId="95" xfId="0" applyFont="1" applyFill="1" applyBorder="1" applyAlignment="1" applyProtection="1">
      <alignment horizontal="center" vertical="center"/>
      <protection locked="0"/>
    </xf>
    <xf numFmtId="1" fontId="0" fillId="0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96" xfId="0" applyFont="1" applyFill="1" applyBorder="1" applyAlignment="1" applyProtection="1">
      <alignment horizontal="center" vertical="center"/>
      <protection locked="0"/>
    </xf>
    <xf numFmtId="1" fontId="0" fillId="0" borderId="23" xfId="0" applyNumberFormat="1" applyFont="1" applyFill="1" applyBorder="1" applyAlignment="1" applyProtection="1">
      <alignment horizontal="center" vertical="center"/>
      <protection locked="0"/>
    </xf>
    <xf numFmtId="0" fontId="0" fillId="0" borderId="97" xfId="0" applyFont="1" applyFill="1" applyBorder="1" applyAlignment="1" applyProtection="1">
      <alignment horizontal="center" vertical="center"/>
      <protection locked="0"/>
    </xf>
    <xf numFmtId="16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3" borderId="4" xfId="0" applyFont="1" applyFill="1" applyBorder="1" applyAlignment="1" applyProtection="1">
      <alignment horizontal="center" vertical="center"/>
    </xf>
    <xf numFmtId="0" fontId="0" fillId="3" borderId="5" xfId="0" applyFont="1" applyFill="1" applyBorder="1" applyAlignment="1" applyProtection="1">
      <alignment horizontal="center" vertical="center"/>
    </xf>
    <xf numFmtId="0" fontId="0" fillId="3" borderId="6" xfId="0" applyFont="1" applyFill="1" applyBorder="1" applyAlignment="1" applyProtection="1">
      <alignment horizontal="center" vertical="center"/>
    </xf>
    <xf numFmtId="0" fontId="0" fillId="2" borderId="4" xfId="0" applyFont="1" applyFill="1" applyBorder="1" applyAlignment="1" applyProtection="1">
      <alignment horizontal="center"/>
    </xf>
    <xf numFmtId="0" fontId="0" fillId="2" borderId="5" xfId="0" applyFont="1" applyFill="1" applyBorder="1" applyAlignment="1" applyProtection="1">
      <alignment horizontal="center"/>
    </xf>
    <xf numFmtId="0" fontId="0" fillId="2" borderId="6" xfId="0" applyFont="1" applyFill="1" applyBorder="1" applyAlignment="1" applyProtection="1">
      <alignment horizontal="center"/>
    </xf>
    <xf numFmtId="0" fontId="1" fillId="3" borderId="4" xfId="0" applyFont="1" applyFill="1" applyBorder="1" applyAlignment="1" applyProtection="1">
      <alignment horizontal="center" vertical="center"/>
    </xf>
    <xf numFmtId="0" fontId="1" fillId="3" borderId="5" xfId="0" applyFont="1" applyFill="1" applyBorder="1" applyAlignment="1" applyProtection="1">
      <alignment horizontal="center" vertical="center"/>
    </xf>
    <xf numFmtId="0" fontId="1" fillId="3" borderId="47" xfId="0" applyFont="1" applyFill="1" applyBorder="1" applyAlignment="1" applyProtection="1">
      <alignment horizontal="center" vertical="center"/>
    </xf>
    <xf numFmtId="0" fontId="1" fillId="3" borderId="48" xfId="0" applyFont="1" applyFill="1" applyBorder="1" applyAlignment="1" applyProtection="1">
      <alignment horizontal="center" vertical="center"/>
    </xf>
    <xf numFmtId="0" fontId="3" fillId="3" borderId="47" xfId="0" applyFont="1" applyFill="1" applyBorder="1" applyAlignment="1" applyProtection="1">
      <alignment horizontal="center" vertical="center"/>
    </xf>
    <xf numFmtId="0" fontId="3" fillId="3" borderId="49" xfId="0" applyFont="1" applyFill="1" applyBorder="1" applyAlignment="1" applyProtection="1">
      <alignment horizontal="center" vertical="center"/>
    </xf>
    <xf numFmtId="0" fontId="3" fillId="3" borderId="48" xfId="0" applyFont="1" applyFill="1" applyBorder="1" applyAlignment="1" applyProtection="1">
      <alignment horizontal="center" vertical="center"/>
    </xf>
    <xf numFmtId="0" fontId="1" fillId="3" borderId="6" xfId="0" applyFont="1" applyFill="1" applyBorder="1" applyAlignment="1" applyProtection="1">
      <alignment horizontal="center" vertical="center"/>
    </xf>
  </cellXfs>
  <cellStyles count="1">
    <cellStyle name="Normál" xfId="0" builtinId="0"/>
  </cellStyles>
  <dxfs count="15">
    <dxf>
      <font>
        <color theme="4" tint="0.39994506668294322"/>
      </font>
      <fill>
        <patternFill>
          <bgColor theme="4" tint="0.39994506668294322"/>
        </patternFill>
      </fill>
    </dxf>
    <dxf>
      <font>
        <color theme="4" tint="0.39994506668294322"/>
      </font>
      <fill>
        <patternFill>
          <bgColor theme="4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lor theme="4" tint="0.39994506668294322"/>
      </font>
      <fill>
        <patternFill>
          <bgColor theme="4" tint="0.39994506668294322"/>
        </patternFill>
      </fill>
    </dxf>
    <dxf>
      <font>
        <color theme="4" tint="0.39994506668294322"/>
      </font>
      <fill>
        <patternFill>
          <bgColor theme="4" tint="0.39994506668294322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color theme="4" tint="0.39994506668294322"/>
      </font>
      <fill>
        <patternFill>
          <bgColor theme="4" tint="0.39994506668294322"/>
        </patternFill>
      </fill>
    </dxf>
    <dxf>
      <font>
        <color theme="4" tint="0.39994506668294322"/>
      </font>
      <fill>
        <patternFill>
          <bgColor theme="4" tint="0.39994506668294322"/>
        </patternFill>
      </fill>
    </dxf>
    <dxf>
      <font>
        <color theme="4" tint="0.39994506668294322"/>
      </font>
      <fill>
        <patternFill>
          <bgColor theme="4" tint="0.39994506668294322"/>
        </patternFill>
      </fill>
    </dxf>
    <dxf>
      <font>
        <color theme="4" tint="0.39994506668294322"/>
      </font>
      <fill>
        <patternFill>
          <bgColor theme="4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161925</xdr:colOff>
      <xdr:row>17</xdr:row>
      <xdr:rowOff>85725</xdr:rowOff>
    </xdr:from>
    <xdr:ext cx="65" cy="172227"/>
    <xdr:sp macro="" textlink="">
      <xdr:nvSpPr>
        <xdr:cNvPr id="2" name="Szövegdoboz 1"/>
        <xdr:cNvSpPr txBox="1"/>
      </xdr:nvSpPr>
      <xdr:spPr>
        <a:xfrm>
          <a:off x="3695700" y="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hu-HU" sz="1100"/>
        </a:p>
      </xdr:txBody>
    </xdr:sp>
    <xdr:clientData/>
  </xdr:oneCellAnchor>
  <xdr:twoCellAnchor>
    <xdr:from>
      <xdr:col>0</xdr:col>
      <xdr:colOff>85725</xdr:colOff>
      <xdr:row>30</xdr:row>
      <xdr:rowOff>142875</xdr:rowOff>
    </xdr:from>
    <xdr:to>
      <xdr:col>2</xdr:col>
      <xdr:colOff>47625</xdr:colOff>
      <xdr:row>30</xdr:row>
      <xdr:rowOff>142875</xdr:rowOff>
    </xdr:to>
    <xdr:cxnSp macro="">
      <xdr:nvCxnSpPr>
        <xdr:cNvPr id="4" name="Egyenes összekötő nyíllal 3"/>
        <xdr:cNvCxnSpPr/>
      </xdr:nvCxnSpPr>
      <xdr:spPr>
        <a:xfrm>
          <a:off x="85725" y="523875"/>
          <a:ext cx="666750" cy="0"/>
        </a:xfrm>
        <a:prstGeom prst="straightConnector1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314325</xdr:colOff>
      <xdr:row>30</xdr:row>
      <xdr:rowOff>152400</xdr:rowOff>
    </xdr:from>
    <xdr:to>
      <xdr:col>15</xdr:col>
      <xdr:colOff>981075</xdr:colOff>
      <xdr:row>30</xdr:row>
      <xdr:rowOff>152400</xdr:rowOff>
    </xdr:to>
    <xdr:cxnSp macro="">
      <xdr:nvCxnSpPr>
        <xdr:cNvPr id="6" name="Egyenes összekötő nyíllal 5"/>
        <xdr:cNvCxnSpPr/>
      </xdr:nvCxnSpPr>
      <xdr:spPr>
        <a:xfrm>
          <a:off x="3848100" y="533400"/>
          <a:ext cx="666750" cy="0"/>
        </a:xfrm>
        <a:prstGeom prst="straightConnector1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0</xdr:colOff>
      <xdr:row>4</xdr:row>
      <xdr:rowOff>0</xdr:rowOff>
    </xdr:from>
    <xdr:ext cx="65" cy="172227"/>
    <xdr:sp macro="" textlink="">
      <xdr:nvSpPr>
        <xdr:cNvPr id="2" name="Szövegdoboz 1"/>
        <xdr:cNvSpPr txBox="1"/>
      </xdr:nvSpPr>
      <xdr:spPr>
        <a:xfrm>
          <a:off x="5219700" y="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hu-HU" sz="1100"/>
        </a:p>
      </xdr:txBody>
    </xdr:sp>
    <xdr:clientData/>
  </xdr:oneCellAnchor>
  <xdr:twoCellAnchor>
    <xdr:from>
      <xdr:col>0</xdr:col>
      <xdr:colOff>85725</xdr:colOff>
      <xdr:row>10</xdr:row>
      <xdr:rowOff>142875</xdr:rowOff>
    </xdr:from>
    <xdr:to>
      <xdr:col>2</xdr:col>
      <xdr:colOff>47625</xdr:colOff>
      <xdr:row>10</xdr:row>
      <xdr:rowOff>142875</xdr:rowOff>
    </xdr:to>
    <xdr:cxnSp macro="">
      <xdr:nvCxnSpPr>
        <xdr:cNvPr id="3" name="Egyenes összekötő nyíllal 2"/>
        <xdr:cNvCxnSpPr/>
      </xdr:nvCxnSpPr>
      <xdr:spPr>
        <a:xfrm>
          <a:off x="85725" y="904875"/>
          <a:ext cx="809625" cy="0"/>
        </a:xfrm>
        <a:prstGeom prst="straightConnector1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38100</xdr:colOff>
      <xdr:row>10</xdr:row>
      <xdr:rowOff>152400</xdr:rowOff>
    </xdr:from>
    <xdr:to>
      <xdr:col>6</xdr:col>
      <xdr:colOff>657225</xdr:colOff>
      <xdr:row>10</xdr:row>
      <xdr:rowOff>152400</xdr:rowOff>
    </xdr:to>
    <xdr:cxnSp macro="">
      <xdr:nvCxnSpPr>
        <xdr:cNvPr id="4" name="Egyenes összekötő nyíllal 3"/>
        <xdr:cNvCxnSpPr/>
      </xdr:nvCxnSpPr>
      <xdr:spPr>
        <a:xfrm>
          <a:off x="3971925" y="2628900"/>
          <a:ext cx="619125" cy="0"/>
        </a:xfrm>
        <a:prstGeom prst="straightConnector1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85725</xdr:colOff>
      <xdr:row>35</xdr:row>
      <xdr:rowOff>142875</xdr:rowOff>
    </xdr:from>
    <xdr:to>
      <xdr:col>2</xdr:col>
      <xdr:colOff>47625</xdr:colOff>
      <xdr:row>35</xdr:row>
      <xdr:rowOff>142875</xdr:rowOff>
    </xdr:to>
    <xdr:cxnSp macro="">
      <xdr:nvCxnSpPr>
        <xdr:cNvPr id="10" name="Egyenes összekötő nyíllal 9"/>
        <xdr:cNvCxnSpPr/>
      </xdr:nvCxnSpPr>
      <xdr:spPr>
        <a:xfrm>
          <a:off x="85725" y="2619375"/>
          <a:ext cx="809625" cy="0"/>
        </a:xfrm>
        <a:prstGeom prst="straightConnector1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38100</xdr:colOff>
      <xdr:row>35</xdr:row>
      <xdr:rowOff>152400</xdr:rowOff>
    </xdr:from>
    <xdr:to>
      <xdr:col>6</xdr:col>
      <xdr:colOff>657225</xdr:colOff>
      <xdr:row>35</xdr:row>
      <xdr:rowOff>152400</xdr:rowOff>
    </xdr:to>
    <xdr:cxnSp macro="">
      <xdr:nvCxnSpPr>
        <xdr:cNvPr id="11" name="Egyenes összekötő nyíllal 10"/>
        <xdr:cNvCxnSpPr/>
      </xdr:nvCxnSpPr>
      <xdr:spPr>
        <a:xfrm>
          <a:off x="3971925" y="2628900"/>
          <a:ext cx="619125" cy="0"/>
        </a:xfrm>
        <a:prstGeom prst="straightConnector1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171450</xdr:colOff>
      <xdr:row>35</xdr:row>
      <xdr:rowOff>76200</xdr:rowOff>
    </xdr:from>
    <xdr:to>
      <xdr:col>16</xdr:col>
      <xdr:colOff>545973</xdr:colOff>
      <xdr:row>49</xdr:row>
      <xdr:rowOff>150114</xdr:rowOff>
    </xdr:to>
    <xdr:pic>
      <xdr:nvPicPr>
        <xdr:cNvPr id="2" name="Kép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3950" y="7353300"/>
          <a:ext cx="2365248" cy="295046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13</xdr:col>
      <xdr:colOff>150000</xdr:colOff>
      <xdr:row>51</xdr:row>
      <xdr:rowOff>45225</xdr:rowOff>
    </xdr:from>
    <xdr:to>
      <xdr:col>16</xdr:col>
      <xdr:colOff>524523</xdr:colOff>
      <xdr:row>65</xdr:row>
      <xdr:rowOff>122187</xdr:rowOff>
    </xdr:to>
    <xdr:pic>
      <xdr:nvPicPr>
        <xdr:cNvPr id="3" name="Kép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22500" y="10589400"/>
          <a:ext cx="2365248" cy="29535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13</xdr:col>
      <xdr:colOff>166650</xdr:colOff>
      <xdr:row>67</xdr:row>
      <xdr:rowOff>57150</xdr:rowOff>
    </xdr:from>
    <xdr:to>
      <xdr:col>16</xdr:col>
      <xdr:colOff>538125</xdr:colOff>
      <xdr:row>81</xdr:row>
      <xdr:rowOff>134112</xdr:rowOff>
    </xdr:to>
    <xdr:pic>
      <xdr:nvPicPr>
        <xdr:cNvPr id="4" name="Kép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9150" y="13868400"/>
          <a:ext cx="2362200" cy="29535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4</xdr:col>
      <xdr:colOff>107100</xdr:colOff>
      <xdr:row>3</xdr:row>
      <xdr:rowOff>85725</xdr:rowOff>
    </xdr:from>
    <xdr:to>
      <xdr:col>8</xdr:col>
      <xdr:colOff>122045</xdr:colOff>
      <xdr:row>18</xdr:row>
      <xdr:rowOff>97725</xdr:rowOff>
    </xdr:to>
    <xdr:pic>
      <xdr:nvPicPr>
        <xdr:cNvPr id="5" name="Kép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1775" y="847725"/>
          <a:ext cx="2453345" cy="306000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13</xdr:col>
      <xdr:colOff>180900</xdr:colOff>
      <xdr:row>19</xdr:row>
      <xdr:rowOff>57075</xdr:rowOff>
    </xdr:from>
    <xdr:to>
      <xdr:col>16</xdr:col>
      <xdr:colOff>555423</xdr:colOff>
      <xdr:row>33</xdr:row>
      <xdr:rowOff>105462</xdr:rowOff>
    </xdr:to>
    <xdr:pic>
      <xdr:nvPicPr>
        <xdr:cNvPr id="6" name="Kép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3400" y="4057575"/>
          <a:ext cx="2365248" cy="29535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13</xdr:col>
      <xdr:colOff>188025</xdr:colOff>
      <xdr:row>3</xdr:row>
      <xdr:rowOff>54675</xdr:rowOff>
    </xdr:from>
    <xdr:to>
      <xdr:col>16</xdr:col>
      <xdr:colOff>562548</xdr:colOff>
      <xdr:row>17</xdr:row>
      <xdr:rowOff>150687</xdr:rowOff>
    </xdr:to>
    <xdr:pic>
      <xdr:nvPicPr>
        <xdr:cNvPr id="7" name="Kép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0525" y="816675"/>
          <a:ext cx="2365248" cy="29535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4</xdr:col>
      <xdr:colOff>147525</xdr:colOff>
      <xdr:row>19</xdr:row>
      <xdr:rowOff>104774</xdr:rowOff>
    </xdr:from>
    <xdr:to>
      <xdr:col>8</xdr:col>
      <xdr:colOff>157659</xdr:colOff>
      <xdr:row>34</xdr:row>
      <xdr:rowOff>69149</xdr:rowOff>
    </xdr:to>
    <xdr:pic>
      <xdr:nvPicPr>
        <xdr:cNvPr id="8" name="Kép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2200" y="4295774"/>
          <a:ext cx="2448534" cy="306000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22</xdr:col>
      <xdr:colOff>211800</xdr:colOff>
      <xdr:row>19</xdr:row>
      <xdr:rowOff>87975</xdr:rowOff>
    </xdr:from>
    <xdr:to>
      <xdr:col>26</xdr:col>
      <xdr:colOff>138648</xdr:colOff>
      <xdr:row>33</xdr:row>
      <xdr:rowOff>136362</xdr:rowOff>
    </xdr:to>
    <xdr:pic>
      <xdr:nvPicPr>
        <xdr:cNvPr id="9" name="Kép 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6875" y="4088475"/>
          <a:ext cx="2365248" cy="29535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22</xdr:col>
      <xdr:colOff>218925</xdr:colOff>
      <xdr:row>3</xdr:row>
      <xdr:rowOff>37950</xdr:rowOff>
    </xdr:from>
    <xdr:to>
      <xdr:col>26</xdr:col>
      <xdr:colOff>145773</xdr:colOff>
      <xdr:row>17</xdr:row>
      <xdr:rowOff>133962</xdr:rowOff>
    </xdr:to>
    <xdr:pic>
      <xdr:nvPicPr>
        <xdr:cNvPr id="10" name="Kép 9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54000" y="799950"/>
          <a:ext cx="2365248" cy="29535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2"/>
  <sheetViews>
    <sheetView tabSelected="1" topLeftCell="A29" workbookViewId="0">
      <selection activeCell="C35" sqref="C35"/>
    </sheetView>
  </sheetViews>
  <sheetFormatPr defaultRowHeight="15"/>
  <cols>
    <col min="1" max="1" width="3.85546875" style="1" bestFit="1" customWidth="1"/>
    <col min="2" max="2" width="8.85546875" style="1" customWidth="1"/>
    <col min="3" max="5" width="11.5703125" style="1" customWidth="1"/>
    <col min="6" max="6" width="16.28515625" style="1" hidden="1" customWidth="1"/>
    <col min="7" max="7" width="15.140625" style="1" customWidth="1"/>
    <col min="8" max="9" width="9.140625" style="1" hidden="1" customWidth="1"/>
    <col min="10" max="10" width="11.28515625" style="1" hidden="1" customWidth="1"/>
    <col min="11" max="11" width="16.28515625" style="1" hidden="1" customWidth="1"/>
    <col min="12" max="12" width="15.7109375" style="1" customWidth="1"/>
    <col min="13" max="13" width="11.5703125" style="1" hidden="1" customWidth="1"/>
    <col min="14" max="15" width="9" style="1" hidden="1" customWidth="1"/>
    <col min="16" max="17" width="15.7109375" style="1" customWidth="1"/>
    <col min="18" max="18" width="16.28515625" style="1" customWidth="1"/>
    <col min="19" max="20" width="15.7109375" style="1" customWidth="1"/>
    <col min="21" max="21" width="19.85546875" style="1" customWidth="1"/>
    <col min="22" max="22" width="15.7109375" style="1" customWidth="1"/>
    <col min="23" max="23" width="33.5703125" style="1" customWidth="1"/>
    <col min="24" max="24" width="28.85546875" style="1" customWidth="1"/>
    <col min="25" max="16384" width="9.140625" style="1"/>
  </cols>
  <sheetData>
    <row r="1" spans="1:20" hidden="1"/>
    <row r="2" spans="1:20" hidden="1"/>
    <row r="3" spans="1:20" hidden="1">
      <c r="A3" s="1" t="s">
        <v>0</v>
      </c>
      <c r="D3" s="1" t="s">
        <v>1</v>
      </c>
      <c r="E3" s="1" t="s">
        <v>2</v>
      </c>
      <c r="F3" s="1" t="s">
        <v>3</v>
      </c>
      <c r="G3" s="1" t="s">
        <v>4</v>
      </c>
      <c r="I3" s="1" t="s">
        <v>5</v>
      </c>
      <c r="J3" s="1" t="s">
        <v>6</v>
      </c>
      <c r="K3" s="1" t="s">
        <v>7</v>
      </c>
      <c r="L3" s="1" t="s">
        <v>8</v>
      </c>
      <c r="Q3" s="1" t="s">
        <v>9</v>
      </c>
    </row>
    <row r="4" spans="1:20" hidden="1">
      <c r="A4" s="1" t="s">
        <v>10</v>
      </c>
      <c r="D4" s="1">
        <v>200</v>
      </c>
      <c r="E4" s="1" t="s">
        <v>11</v>
      </c>
      <c r="F4" s="2">
        <v>21000</v>
      </c>
      <c r="G4" s="1">
        <v>20000</v>
      </c>
      <c r="I4" s="1" t="s">
        <v>12</v>
      </c>
      <c r="J4" s="3">
        <v>620.22760479999999</v>
      </c>
      <c r="K4" s="2">
        <v>6400</v>
      </c>
      <c r="L4" s="2">
        <f>ROUNDUP(SUM(J4:K4),-2)</f>
        <v>7100</v>
      </c>
      <c r="M4" s="3">
        <v>6979.2276048000003</v>
      </c>
      <c r="N4" s="2">
        <f>L4-M4</f>
        <v>120.77239519999966</v>
      </c>
      <c r="P4" s="1" t="s">
        <v>13</v>
      </c>
      <c r="Q4" s="2">
        <v>582.29499999999996</v>
      </c>
      <c r="R4" s="2"/>
    </row>
    <row r="5" spans="1:20" hidden="1">
      <c r="A5" s="1" t="s">
        <v>14</v>
      </c>
      <c r="D5" s="1">
        <v>300</v>
      </c>
      <c r="E5" s="1" t="s">
        <v>15</v>
      </c>
      <c r="F5" s="2">
        <v>22000</v>
      </c>
      <c r="G5" s="1">
        <v>21000</v>
      </c>
      <c r="I5" s="1" t="s">
        <v>16</v>
      </c>
      <c r="J5" s="3">
        <v>637.82788840000001</v>
      </c>
      <c r="K5" s="2">
        <v>7200</v>
      </c>
      <c r="L5" s="2">
        <f t="shared" ref="L5:L18" si="0">ROUNDUP(SUM(J5:K5),-2)</f>
        <v>7900</v>
      </c>
      <c r="M5" s="3">
        <v>7792.8278884000001</v>
      </c>
      <c r="N5" s="2">
        <f t="shared" ref="N5:N18" si="1">L5-M5</f>
        <v>107.17211159999988</v>
      </c>
      <c r="P5" s="1" t="s">
        <v>17</v>
      </c>
      <c r="Q5" s="2">
        <v>867.59142857142854</v>
      </c>
      <c r="R5" s="2"/>
    </row>
    <row r="6" spans="1:20" hidden="1">
      <c r="D6" s="1">
        <v>400</v>
      </c>
      <c r="E6" s="1" t="s">
        <v>18</v>
      </c>
      <c r="F6" s="2">
        <v>23000</v>
      </c>
      <c r="G6" s="1">
        <v>22000</v>
      </c>
      <c r="I6" s="1" t="s">
        <v>19</v>
      </c>
      <c r="J6" s="3">
        <v>659.9145188</v>
      </c>
      <c r="K6" s="2">
        <v>7800</v>
      </c>
      <c r="L6" s="2">
        <f t="shared" si="0"/>
        <v>8500</v>
      </c>
      <c r="M6" s="3">
        <v>8449.9145188000002</v>
      </c>
      <c r="N6" s="2">
        <f t="shared" si="1"/>
        <v>50.085481199999776</v>
      </c>
      <c r="P6" s="1" t="s">
        <v>20</v>
      </c>
      <c r="Q6" s="2">
        <v>1105.3703703703704</v>
      </c>
      <c r="R6" s="2"/>
      <c r="T6" s="1" t="s">
        <v>21</v>
      </c>
    </row>
    <row r="7" spans="1:20" hidden="1">
      <c r="D7" s="1">
        <v>600</v>
      </c>
      <c r="E7" s="1" t="s">
        <v>22</v>
      </c>
      <c r="F7" s="2">
        <v>24000</v>
      </c>
      <c r="G7" s="1">
        <v>23000</v>
      </c>
      <c r="I7" s="1" t="s">
        <v>23</v>
      </c>
      <c r="J7" s="3">
        <v>908.67240479999998</v>
      </c>
      <c r="K7" s="2">
        <v>6400</v>
      </c>
      <c r="L7" s="2">
        <f t="shared" si="0"/>
        <v>7400</v>
      </c>
      <c r="M7" s="3">
        <v>7267.6724047999996</v>
      </c>
      <c r="N7" s="2">
        <f t="shared" si="1"/>
        <v>132.32759520000036</v>
      </c>
      <c r="P7" s="1" t="s">
        <v>24</v>
      </c>
      <c r="Q7" s="2">
        <v>1761.0666666666666</v>
      </c>
      <c r="R7" s="2"/>
      <c r="T7" s="1">
        <v>500</v>
      </c>
    </row>
    <row r="8" spans="1:20" hidden="1">
      <c r="D8" s="1">
        <v>800</v>
      </c>
      <c r="E8" s="1" t="s">
        <v>25</v>
      </c>
      <c r="F8" s="2">
        <v>26000</v>
      </c>
      <c r="G8" s="1">
        <v>24000</v>
      </c>
      <c r="I8" s="1" t="s">
        <v>26</v>
      </c>
      <c r="J8" s="3">
        <v>952.54176839999991</v>
      </c>
      <c r="K8" s="2">
        <v>7200</v>
      </c>
      <c r="L8" s="2">
        <f t="shared" si="0"/>
        <v>8200</v>
      </c>
      <c r="M8" s="3">
        <v>8107.5417684000004</v>
      </c>
      <c r="N8" s="2">
        <f t="shared" si="1"/>
        <v>92.458231599999635</v>
      </c>
      <c r="P8" s="1" t="s">
        <v>27</v>
      </c>
      <c r="Q8" s="2">
        <v>2372.590909090909</v>
      </c>
      <c r="R8" s="2"/>
      <c r="T8" s="1" t="s">
        <v>28</v>
      </c>
    </row>
    <row r="9" spans="1:20" hidden="1">
      <c r="I9" s="1" t="s">
        <v>29</v>
      </c>
      <c r="J9" s="3">
        <v>1007.5935188000001</v>
      </c>
      <c r="K9" s="2">
        <v>7800</v>
      </c>
      <c r="L9" s="2">
        <f t="shared" si="0"/>
        <v>8900</v>
      </c>
      <c r="M9" s="3">
        <v>8797.5935188000003</v>
      </c>
      <c r="N9" s="2">
        <f t="shared" si="1"/>
        <v>102.40648119999969</v>
      </c>
      <c r="P9" s="1" t="s">
        <v>87</v>
      </c>
      <c r="Q9" s="2">
        <v>405.25699999999995</v>
      </c>
      <c r="R9" s="2"/>
      <c r="T9" s="1">
        <v>1000</v>
      </c>
    </row>
    <row r="10" spans="1:20" hidden="1">
      <c r="C10" s="1" t="s">
        <v>1</v>
      </c>
      <c r="D10" s="1" t="s">
        <v>85</v>
      </c>
      <c r="E10" s="1" t="s">
        <v>2</v>
      </c>
      <c r="F10" s="1" t="s">
        <v>3</v>
      </c>
      <c r="G10" s="1" t="s">
        <v>4</v>
      </c>
      <c r="I10" s="1" t="s">
        <v>30</v>
      </c>
      <c r="J10" s="3">
        <v>1197.1172048000001</v>
      </c>
      <c r="K10" s="2">
        <v>6400</v>
      </c>
      <c r="L10" s="2">
        <f t="shared" si="0"/>
        <v>7600</v>
      </c>
      <c r="M10" s="3">
        <v>7556.1172047999999</v>
      </c>
      <c r="N10" s="2">
        <f t="shared" si="1"/>
        <v>43.882795200000146</v>
      </c>
      <c r="P10" s="1" t="s">
        <v>88</v>
      </c>
      <c r="Q10" s="2">
        <v>586.9516666666666</v>
      </c>
      <c r="R10" s="2"/>
    </row>
    <row r="11" spans="1:20" hidden="1">
      <c r="B11" s="1" t="s">
        <v>87</v>
      </c>
      <c r="C11" s="1">
        <v>200</v>
      </c>
      <c r="D11" s="1">
        <v>1000</v>
      </c>
      <c r="E11" s="1" t="s">
        <v>11</v>
      </c>
      <c r="F11" s="2">
        <v>21000</v>
      </c>
      <c r="G11" s="1">
        <v>20000</v>
      </c>
      <c r="I11" s="1" t="s">
        <v>31</v>
      </c>
      <c r="J11" s="3">
        <v>1267.2556483999999</v>
      </c>
      <c r="K11" s="2">
        <v>7200</v>
      </c>
      <c r="L11" s="2">
        <f t="shared" si="0"/>
        <v>8500</v>
      </c>
      <c r="M11" s="3">
        <v>8422.2556483999997</v>
      </c>
      <c r="N11" s="2">
        <f t="shared" si="1"/>
        <v>77.7443516000003</v>
      </c>
      <c r="P11" s="1" t="s">
        <v>89</v>
      </c>
      <c r="Q11" s="2">
        <v>758.04888888888877</v>
      </c>
      <c r="R11" s="2"/>
    </row>
    <row r="12" spans="1:20" hidden="1">
      <c r="B12" s="1" t="s">
        <v>88</v>
      </c>
      <c r="C12" s="1">
        <v>300</v>
      </c>
      <c r="D12" s="1">
        <v>800</v>
      </c>
      <c r="E12" s="1" t="s">
        <v>15</v>
      </c>
      <c r="F12" s="2">
        <v>22000</v>
      </c>
      <c r="G12" s="1">
        <v>21000</v>
      </c>
      <c r="I12" s="1" t="s">
        <v>32</v>
      </c>
      <c r="J12" s="3">
        <v>1355.2725187999999</v>
      </c>
      <c r="K12" s="2">
        <v>7800</v>
      </c>
      <c r="L12" s="2">
        <f t="shared" si="0"/>
        <v>9200</v>
      </c>
      <c r="M12" s="3">
        <v>9145.2725188000004</v>
      </c>
      <c r="N12" s="2">
        <f t="shared" si="1"/>
        <v>54.727481199999602</v>
      </c>
      <c r="P12" s="1" t="s">
        <v>90</v>
      </c>
      <c r="Q12" s="2">
        <v>1111.25</v>
      </c>
      <c r="R12" s="2"/>
    </row>
    <row r="13" spans="1:20" hidden="1">
      <c r="B13" s="1" t="s">
        <v>89</v>
      </c>
      <c r="C13" s="1">
        <v>400</v>
      </c>
      <c r="D13" s="1">
        <v>600</v>
      </c>
      <c r="F13" s="2">
        <v>23000</v>
      </c>
      <c r="G13" s="1">
        <v>22000</v>
      </c>
      <c r="I13" s="1" t="s">
        <v>33</v>
      </c>
      <c r="J13" s="3">
        <v>1774.0068047999998</v>
      </c>
      <c r="K13" s="2">
        <v>6400</v>
      </c>
      <c r="L13" s="2">
        <f t="shared" si="0"/>
        <v>8200</v>
      </c>
      <c r="M13" s="3">
        <v>8133.0068047999994</v>
      </c>
      <c r="N13" s="2">
        <f t="shared" si="1"/>
        <v>66.993195200000628</v>
      </c>
      <c r="P13" s="1" t="s">
        <v>91</v>
      </c>
      <c r="Q13" s="2">
        <v>1514.3238095238096</v>
      </c>
      <c r="R13" s="2"/>
    </row>
    <row r="14" spans="1:20" hidden="1">
      <c r="B14" s="1" t="s">
        <v>90</v>
      </c>
      <c r="C14" s="1">
        <v>600</v>
      </c>
      <c r="F14" s="2">
        <v>24000</v>
      </c>
      <c r="G14" s="1">
        <v>23000</v>
      </c>
      <c r="I14" s="1" t="s">
        <v>34</v>
      </c>
      <c r="J14" s="3">
        <v>1896.6834084</v>
      </c>
      <c r="K14" s="2">
        <v>7200</v>
      </c>
      <c r="L14" s="2">
        <f t="shared" si="0"/>
        <v>9100</v>
      </c>
      <c r="M14" s="3">
        <v>9051.6834084000002</v>
      </c>
      <c r="N14" s="2">
        <f t="shared" si="1"/>
        <v>48.316591599999811</v>
      </c>
      <c r="P14" s="1" t="s">
        <v>92</v>
      </c>
      <c r="Q14" s="2">
        <v>405.25699999999995</v>
      </c>
      <c r="R14" s="2"/>
    </row>
    <row r="15" spans="1:20" hidden="1">
      <c r="B15" s="1" t="s">
        <v>91</v>
      </c>
      <c r="C15" s="1">
        <v>800</v>
      </c>
      <c r="F15" s="2">
        <v>26000</v>
      </c>
      <c r="G15" s="1">
        <v>24000</v>
      </c>
      <c r="I15" s="1" t="s">
        <v>35</v>
      </c>
      <c r="J15" s="3">
        <v>2050.6305187999997</v>
      </c>
      <c r="K15" s="2">
        <v>7800</v>
      </c>
      <c r="L15" s="2">
        <f t="shared" si="0"/>
        <v>9900</v>
      </c>
      <c r="M15" s="3">
        <v>9840.6305188000006</v>
      </c>
      <c r="N15" s="2">
        <f t="shared" si="1"/>
        <v>59.369481199999427</v>
      </c>
      <c r="P15" s="1" t="s">
        <v>93</v>
      </c>
      <c r="Q15" s="2">
        <v>586.9516666666666</v>
      </c>
      <c r="R15" s="2"/>
    </row>
    <row r="16" spans="1:20" hidden="1">
      <c r="B16" s="1" t="s">
        <v>92</v>
      </c>
      <c r="C16" s="1">
        <v>200</v>
      </c>
      <c r="G16" s="1">
        <f>G11-500</f>
        <v>19500</v>
      </c>
      <c r="I16" s="1" t="s">
        <v>36</v>
      </c>
      <c r="J16" s="3">
        <v>2350.8964047999998</v>
      </c>
      <c r="K16" s="2">
        <v>6400</v>
      </c>
      <c r="L16" s="2">
        <f t="shared" si="0"/>
        <v>8800</v>
      </c>
      <c r="M16" s="3">
        <v>8709.8964047999998</v>
      </c>
      <c r="N16" s="2">
        <f t="shared" si="1"/>
        <v>90.1035952000002</v>
      </c>
      <c r="P16" s="1" t="s">
        <v>94</v>
      </c>
      <c r="Q16" s="2">
        <v>758.04888888888877</v>
      </c>
      <c r="R16" s="2"/>
    </row>
    <row r="17" spans="1:22" hidden="1">
      <c r="B17" s="1" t="s">
        <v>93</v>
      </c>
      <c r="C17" s="1">
        <v>300</v>
      </c>
      <c r="G17" s="1">
        <f t="shared" ref="G17:G20" si="2">G12-500</f>
        <v>20500</v>
      </c>
      <c r="I17" s="1" t="s">
        <v>37</v>
      </c>
      <c r="J17" s="3">
        <v>2526.1111684000002</v>
      </c>
      <c r="K17" s="2">
        <v>7200</v>
      </c>
      <c r="L17" s="2">
        <f t="shared" si="0"/>
        <v>9800</v>
      </c>
      <c r="M17" s="3">
        <v>9681.1111684000007</v>
      </c>
      <c r="N17" s="2">
        <f t="shared" si="1"/>
        <v>118.88883159999932</v>
      </c>
      <c r="P17" s="1" t="s">
        <v>95</v>
      </c>
      <c r="Q17" s="2">
        <v>1111.25</v>
      </c>
      <c r="R17" s="2"/>
    </row>
    <row r="18" spans="1:22" hidden="1">
      <c r="B18" s="1" t="s">
        <v>94</v>
      </c>
      <c r="C18" s="1">
        <v>400</v>
      </c>
      <c r="G18" s="1">
        <f t="shared" si="2"/>
        <v>21500</v>
      </c>
      <c r="I18" s="1" t="s">
        <v>38</v>
      </c>
      <c r="J18" s="3">
        <v>2745.9885188000003</v>
      </c>
      <c r="K18" s="2">
        <v>7800</v>
      </c>
      <c r="L18" s="2">
        <f t="shared" si="0"/>
        <v>10600</v>
      </c>
      <c r="M18" s="3">
        <v>10535.988518800001</v>
      </c>
      <c r="N18" s="2">
        <f t="shared" si="1"/>
        <v>64.011481199999253</v>
      </c>
      <c r="P18" s="1" t="s">
        <v>96</v>
      </c>
      <c r="Q18" s="2">
        <v>1514.3238095238096</v>
      </c>
      <c r="R18" s="2"/>
    </row>
    <row r="19" spans="1:22" hidden="1">
      <c r="B19" s="1" t="s">
        <v>95</v>
      </c>
      <c r="C19" s="1">
        <v>600</v>
      </c>
      <c r="G19" s="1">
        <f t="shared" si="2"/>
        <v>22500</v>
      </c>
      <c r="L19" s="3"/>
      <c r="M19" s="2"/>
      <c r="N19" s="3"/>
      <c r="O19" s="2"/>
      <c r="P19" s="1" t="s">
        <v>97</v>
      </c>
      <c r="Q19" s="2">
        <v>405.25699999999995</v>
      </c>
    </row>
    <row r="20" spans="1:22" hidden="1">
      <c r="B20" s="1" t="s">
        <v>96</v>
      </c>
      <c r="C20" s="1">
        <v>800</v>
      </c>
      <c r="G20" s="1">
        <f t="shared" si="2"/>
        <v>23500</v>
      </c>
      <c r="L20" s="3"/>
      <c r="M20" s="2"/>
      <c r="N20" s="3"/>
      <c r="O20" s="2"/>
      <c r="P20" s="1" t="s">
        <v>98</v>
      </c>
      <c r="Q20" s="2">
        <v>586.9516666666666</v>
      </c>
    </row>
    <row r="21" spans="1:22" hidden="1">
      <c r="B21" s="1" t="s">
        <v>97</v>
      </c>
      <c r="C21" s="1">
        <v>200</v>
      </c>
      <c r="G21" s="1">
        <f>G11-1000</f>
        <v>19000</v>
      </c>
      <c r="L21" s="3"/>
      <c r="M21" s="2"/>
      <c r="N21" s="3"/>
      <c r="O21" s="2"/>
      <c r="P21" s="1" t="s">
        <v>99</v>
      </c>
      <c r="Q21" s="2">
        <v>758.04888888888877</v>
      </c>
    </row>
    <row r="22" spans="1:22" hidden="1">
      <c r="B22" s="1" t="s">
        <v>98</v>
      </c>
      <c r="C22" s="1">
        <v>300</v>
      </c>
      <c r="G22" s="1">
        <f t="shared" ref="G22:G24" si="3">G12-1000</f>
        <v>20000</v>
      </c>
      <c r="L22" s="3"/>
      <c r="M22" s="2"/>
      <c r="N22" s="3"/>
      <c r="O22" s="2"/>
      <c r="P22" s="1" t="s">
        <v>100</v>
      </c>
      <c r="Q22" s="2">
        <v>1111.25</v>
      </c>
    </row>
    <row r="23" spans="1:22" hidden="1">
      <c r="B23" s="1" t="s">
        <v>99</v>
      </c>
      <c r="C23" s="1">
        <v>400</v>
      </c>
      <c r="G23" s="1">
        <f t="shared" si="3"/>
        <v>21000</v>
      </c>
      <c r="L23" s="3"/>
      <c r="M23" s="2"/>
      <c r="N23" s="3"/>
      <c r="O23" s="2"/>
      <c r="P23" s="1" t="s">
        <v>101</v>
      </c>
      <c r="Q23" s="2">
        <v>1514.3238095238096</v>
      </c>
    </row>
    <row r="24" spans="1:22" hidden="1">
      <c r="B24" s="1" t="s">
        <v>100</v>
      </c>
      <c r="C24" s="1">
        <v>600</v>
      </c>
      <c r="G24" s="1">
        <f t="shared" si="3"/>
        <v>22000</v>
      </c>
      <c r="L24" s="3"/>
      <c r="M24" s="2"/>
      <c r="N24" s="3"/>
      <c r="O24" s="2"/>
    </row>
    <row r="25" spans="1:22" hidden="1">
      <c r="B25" s="1" t="s">
        <v>101</v>
      </c>
      <c r="C25" s="1">
        <v>800</v>
      </c>
      <c r="G25" s="1">
        <f>G15-1000</f>
        <v>23000</v>
      </c>
    </row>
    <row r="26" spans="1:22" hidden="1"/>
    <row r="27" spans="1:22" hidden="1"/>
    <row r="28" spans="1:22" s="4" customFormat="1" ht="30" hidden="1" customHeight="1" thickBot="1">
      <c r="U28" s="45"/>
    </row>
    <row r="29" spans="1:22" s="4" customFormat="1" ht="30" customHeight="1" thickBot="1">
      <c r="A29" s="226" t="s">
        <v>59</v>
      </c>
      <c r="B29" s="227"/>
      <c r="C29" s="227"/>
      <c r="D29" s="227"/>
      <c r="E29" s="227"/>
      <c r="F29" s="227"/>
      <c r="G29" s="227"/>
      <c r="H29" s="227"/>
      <c r="I29" s="227"/>
      <c r="J29" s="227"/>
      <c r="K29" s="227"/>
      <c r="L29" s="228"/>
      <c r="Q29" s="224" t="s">
        <v>62</v>
      </c>
      <c r="R29" s="225"/>
      <c r="S29" s="83">
        <v>45471</v>
      </c>
      <c r="T29" s="82"/>
      <c r="U29" s="45"/>
    </row>
    <row r="30" spans="1:22" s="4" customFormat="1" ht="30" customHeight="1" thickBot="1">
      <c r="U30" s="45"/>
    </row>
    <row r="31" spans="1:22" s="4" customFormat="1" ht="23.25" customHeight="1" thickBot="1">
      <c r="A31" s="222" t="s">
        <v>58</v>
      </c>
      <c r="B31" s="223"/>
      <c r="C31" s="223"/>
      <c r="D31" s="223"/>
      <c r="E31" s="223"/>
      <c r="F31" s="223"/>
      <c r="G31" s="223"/>
      <c r="H31" s="223"/>
      <c r="I31" s="223"/>
      <c r="J31" s="223"/>
      <c r="K31" s="223"/>
      <c r="L31" s="223"/>
      <c r="M31" s="223"/>
      <c r="N31" s="223"/>
      <c r="O31" s="223"/>
      <c r="P31" s="223"/>
      <c r="Q31" s="67"/>
      <c r="R31" s="67"/>
      <c r="S31" s="67"/>
      <c r="T31" s="67"/>
      <c r="U31" s="76" t="s">
        <v>57</v>
      </c>
      <c r="V31" s="68"/>
    </row>
    <row r="32" spans="1:22" s="6" customFormat="1" ht="30" customHeight="1" thickBot="1">
      <c r="A32" s="57"/>
      <c r="B32" s="58" t="s">
        <v>10</v>
      </c>
      <c r="C32" s="59"/>
      <c r="D32" s="104"/>
      <c r="E32" s="104"/>
      <c r="F32" s="60"/>
      <c r="G32" s="61"/>
      <c r="H32" s="61"/>
      <c r="I32" s="61"/>
      <c r="J32" s="61"/>
      <c r="K32" s="61"/>
      <c r="L32" s="61"/>
      <c r="M32" s="60"/>
      <c r="N32" s="60"/>
      <c r="O32" s="60"/>
      <c r="P32" s="216" t="s">
        <v>40</v>
      </c>
      <c r="Q32" s="217"/>
      <c r="R32" s="218"/>
      <c r="S32" s="61"/>
      <c r="T32" s="61"/>
      <c r="U32" s="62">
        <v>8000</v>
      </c>
      <c r="V32" s="63"/>
    </row>
    <row r="33" spans="1:24" s="8" customFormat="1" ht="30" customHeight="1" thickBot="1">
      <c r="A33" s="46" t="s">
        <v>41</v>
      </c>
      <c r="B33" s="47" t="s">
        <v>42</v>
      </c>
      <c r="C33" s="47" t="s">
        <v>43</v>
      </c>
      <c r="D33" s="50" t="s">
        <v>46</v>
      </c>
      <c r="E33" s="50" t="s">
        <v>47</v>
      </c>
      <c r="F33" s="47" t="s">
        <v>44</v>
      </c>
      <c r="G33" s="48" t="s">
        <v>45</v>
      </c>
      <c r="H33" s="50" t="s">
        <v>39</v>
      </c>
      <c r="I33" s="50" t="s">
        <v>48</v>
      </c>
      <c r="J33" s="50" t="s">
        <v>49</v>
      </c>
      <c r="K33" s="51" t="s">
        <v>50</v>
      </c>
      <c r="L33" s="52" t="s">
        <v>51</v>
      </c>
      <c r="M33" s="49" t="s">
        <v>5</v>
      </c>
      <c r="N33" s="50" t="s">
        <v>5</v>
      </c>
      <c r="O33" s="51" t="s">
        <v>5</v>
      </c>
      <c r="P33" s="46" t="s">
        <v>48</v>
      </c>
      <c r="Q33" s="47" t="s">
        <v>49</v>
      </c>
      <c r="R33" s="53" t="s">
        <v>50</v>
      </c>
      <c r="S33" s="52" t="s">
        <v>52</v>
      </c>
      <c r="T33" s="54" t="s">
        <v>53</v>
      </c>
      <c r="U33" s="55" t="s">
        <v>54</v>
      </c>
      <c r="V33" s="56" t="s">
        <v>55</v>
      </c>
    </row>
    <row r="34" spans="1:24" s="8" customFormat="1" ht="3" customHeight="1" thickBot="1">
      <c r="A34" s="9"/>
      <c r="B34" s="120"/>
      <c r="C34" s="120"/>
      <c r="D34" s="122"/>
      <c r="E34" s="122"/>
      <c r="L34" s="10"/>
      <c r="R34" s="11"/>
      <c r="S34" s="10"/>
      <c r="T34" s="10"/>
      <c r="U34" s="12"/>
      <c r="V34" s="13"/>
    </row>
    <row r="35" spans="1:24" s="6" customFormat="1" ht="20.100000000000001" customHeight="1" thickBot="1">
      <c r="A35" s="109">
        <v>1</v>
      </c>
      <c r="B35" s="119"/>
      <c r="C35" s="119"/>
      <c r="D35" s="112">
        <v>760</v>
      </c>
      <c r="E35" s="105">
        <v>550</v>
      </c>
      <c r="F35" s="15" t="str">
        <f>CONCATENATE($B$32,C35)</f>
        <v>Alsó szekrény</v>
      </c>
      <c r="G35" s="121"/>
      <c r="H35" s="116">
        <f t="shared" ref="H35:H44" si="4">IF(G35="",0,(C35*D35*0.000001*B35))</f>
        <v>0</v>
      </c>
      <c r="I35" s="14" t="b">
        <f t="shared" ref="I35:I44" si="5">IF(G35&gt;0,IF(G35=$E$6,1,IF(G35=$E$8,5,0)))</f>
        <v>0</v>
      </c>
      <c r="J35" s="14">
        <f t="shared" ref="J35:J44" si="6">IF(G35=$E$7,4,0)</f>
        <v>0</v>
      </c>
      <c r="K35" s="15">
        <f t="shared" ref="K35:K44" si="7">IF(G35=$E$6,2,0)</f>
        <v>0</v>
      </c>
      <c r="L35" s="16" t="e">
        <f t="shared" ref="L35:L44" si="8">ROUNDUP(B35*IF(G35=$E$6,0,IF(G35=$E$7,0,IF(G35=$E$8,0,VLOOKUP(F35,$P$4:$Q$13,2,TRUE)*2))),-2)</f>
        <v>#N/A</v>
      </c>
      <c r="M35" s="17" t="str">
        <f t="shared" ref="M35:M44" si="9">IF(I35&gt;0,CONCATENATE(C35,$I$33),0)</f>
        <v>A</v>
      </c>
      <c r="N35" s="18">
        <f t="shared" ref="N35:N44" si="10">IF(J35&gt;0,CONCATENATE(C35,$J$33),0)</f>
        <v>0</v>
      </c>
      <c r="O35" s="18">
        <f t="shared" ref="O35:O44" si="11">IF(K35&gt;0,CONCATENATE(C35,$K$33),0)</f>
        <v>0</v>
      </c>
      <c r="P35" s="19">
        <f>_xlfn.IFNA(IF(I35&gt;0,VLOOKUP(M35,$I$4:$L$18,4,FALSE)*I35,0)*B35,0)</f>
        <v>0</v>
      </c>
      <c r="Q35" s="19">
        <f>IF(J35&gt;0,VLOOKUP(N35,$I$4:$L$18,4,FALSE)*J35,0)*B35</f>
        <v>0</v>
      </c>
      <c r="R35" s="20">
        <f>IF(K35&gt;0,VLOOKUP(O35,$I$4:$L$18,4,FALSE)*K35,0)*B35</f>
        <v>0</v>
      </c>
      <c r="S35" s="16" t="e">
        <f>VLOOKUP(C35,$D$4:$G$8,3,FALSE)*B35+L35</f>
        <v>#N/A</v>
      </c>
      <c r="T35" s="16">
        <f>IF(G35=$E$6,SUM(P35,Q35,R35,S35),IF(G35=$E$7,SUM(P35,Q35,R35,S35),IF(G35=$E$8,SUM(P35,Q35,R35,S35),0)))</f>
        <v>0</v>
      </c>
      <c r="U35" s="16">
        <f>ROUNDUP($U$32*H35+IF(G35=$E$4,2*$T$7+$T$9,IF(G35=$E$5,4*$T$7+2*$T$9,IF(G35=$E$6,3*$T$9,IF(G35=$E$7,4*$T$9,IF(G35=$E$8,5*$T$9))))),-2)</f>
        <v>0</v>
      </c>
      <c r="V35" s="21">
        <f>_xlfn.IFNA(P35+Q35+R35+S35+U35,0)</f>
        <v>0</v>
      </c>
      <c r="W35" s="6" t="str">
        <f>IF(AND(C35&lt;=400,G35=$E$5),"Kétfelé nyíló keskeny ajtók. Jó így?","")</f>
        <v/>
      </c>
      <c r="X35" s="6" t="str">
        <f>IF(AND(C35=800,G35="egyben nyíló"),"Válasszon kétfelé nyíló típust!","")</f>
        <v/>
      </c>
    </row>
    <row r="36" spans="1:24" s="6" customFormat="1" ht="20.100000000000001" customHeight="1" thickBot="1">
      <c r="A36" s="110">
        <v>2</v>
      </c>
      <c r="B36" s="115"/>
      <c r="C36" s="115"/>
      <c r="D36" s="113">
        <v>760</v>
      </c>
      <c r="E36" s="106">
        <v>550</v>
      </c>
      <c r="F36" s="15" t="str">
        <f>CONCATENATE($B$32,C36)</f>
        <v>Alsó szekrény</v>
      </c>
      <c r="G36" s="115"/>
      <c r="H36" s="117">
        <f t="shared" si="4"/>
        <v>0</v>
      </c>
      <c r="I36" s="22" t="b">
        <f t="shared" si="5"/>
        <v>0</v>
      </c>
      <c r="J36" s="22">
        <f t="shared" si="6"/>
        <v>0</v>
      </c>
      <c r="K36" s="23">
        <f t="shared" si="7"/>
        <v>0</v>
      </c>
      <c r="L36" s="16" t="e">
        <f t="shared" si="8"/>
        <v>#N/A</v>
      </c>
      <c r="M36" s="24" t="str">
        <f t="shared" si="9"/>
        <v>A</v>
      </c>
      <c r="N36" s="25">
        <f t="shared" si="10"/>
        <v>0</v>
      </c>
      <c r="O36" s="25">
        <f t="shared" si="11"/>
        <v>0</v>
      </c>
      <c r="P36" s="19">
        <f>_xlfn.IFNA(IF(I36&gt;0,VLOOKUP(M36,$I$4:$L$18,4,FALSE)*I36,0)*B36,0)</f>
        <v>0</v>
      </c>
      <c r="Q36" s="19">
        <f t="shared" ref="Q36:Q44" si="12">IF(J36&gt;0,VLOOKUP(N36,$I$4:$L$18,4,FALSE)*J36,0)*B36</f>
        <v>0</v>
      </c>
      <c r="R36" s="20">
        <f t="shared" ref="R36:R44" si="13">IF(K36&gt;0,VLOOKUP(O36,$I$4:$L$18,4,FALSE)*K36,0)*B36</f>
        <v>0</v>
      </c>
      <c r="S36" s="16" t="e">
        <f t="shared" ref="S36:S44" si="14">VLOOKUP(C36,$D$4:$G$8,3,FALSE)*B36+L36</f>
        <v>#N/A</v>
      </c>
      <c r="T36" s="26">
        <f t="shared" ref="T36:T44" si="15">IF(G36=$E$6,SUM(P36,Q36,R36,S36),IF(G36=$E$7,SUM(P36,Q36,R36,S36),IF(G36=$E$8,SUM(P36,Q36,R36,S36),0)))</f>
        <v>0</v>
      </c>
      <c r="U36" s="16">
        <f t="shared" ref="U36:U44" si="16">ROUNDUP($U$32*H36+IF(G36=$E$4,2*$T$7+$T$9,IF(G36=$E$5,4*$T$7+2*$T$9,IF(G36=$E$6,3*$T$9,IF(G36=$E$7,4*$T$9,IF(G36=$E$8,5*$T$9))))),-2)</f>
        <v>0</v>
      </c>
      <c r="V36" s="21">
        <f t="shared" ref="V36:V44" si="17">_xlfn.IFNA(P36+Q36+R36+S36+U36,0)</f>
        <v>0</v>
      </c>
      <c r="W36" s="6" t="str">
        <f t="shared" ref="W36:W44" si="18">IF(AND(C36&lt;=400,G36=$E$5),"Kétfelé nyíló keskeny ajtók. Jó így?","")</f>
        <v/>
      </c>
      <c r="X36" s="6" t="str">
        <f t="shared" ref="X36:X44" si="19">IF(AND(C36=800,G36="egyben nyíló"),"Válasszon kétfelé nyíló tipust!","")</f>
        <v/>
      </c>
    </row>
    <row r="37" spans="1:24" s="6" customFormat="1" ht="20.100000000000001" customHeight="1" thickBot="1">
      <c r="A37" s="110">
        <v>3</v>
      </c>
      <c r="B37" s="115"/>
      <c r="C37" s="115"/>
      <c r="D37" s="113">
        <v>760</v>
      </c>
      <c r="E37" s="106">
        <v>550</v>
      </c>
      <c r="F37" s="15" t="str">
        <f t="shared" ref="F37:F44" si="20">CONCATENATE($B$32,C37)</f>
        <v>Alsó szekrény</v>
      </c>
      <c r="G37" s="115"/>
      <c r="H37" s="117">
        <f t="shared" si="4"/>
        <v>0</v>
      </c>
      <c r="I37" s="22" t="b">
        <f t="shared" si="5"/>
        <v>0</v>
      </c>
      <c r="J37" s="22">
        <f t="shared" si="6"/>
        <v>0</v>
      </c>
      <c r="K37" s="23">
        <f t="shared" si="7"/>
        <v>0</v>
      </c>
      <c r="L37" s="16" t="e">
        <f t="shared" si="8"/>
        <v>#N/A</v>
      </c>
      <c r="M37" s="24" t="str">
        <f t="shared" si="9"/>
        <v>A</v>
      </c>
      <c r="N37" s="25">
        <f t="shared" si="10"/>
        <v>0</v>
      </c>
      <c r="O37" s="25">
        <f t="shared" si="11"/>
        <v>0</v>
      </c>
      <c r="P37" s="19">
        <f t="shared" ref="P37:P44" si="21">_xlfn.IFNA(IF(I37&gt;0,VLOOKUP(M37,$I$4:$L$18,4,FALSE)*I37,0)*B37,0)</f>
        <v>0</v>
      </c>
      <c r="Q37" s="19">
        <f t="shared" si="12"/>
        <v>0</v>
      </c>
      <c r="R37" s="20">
        <f t="shared" si="13"/>
        <v>0</v>
      </c>
      <c r="S37" s="16" t="e">
        <f t="shared" si="14"/>
        <v>#N/A</v>
      </c>
      <c r="T37" s="26">
        <f t="shared" si="15"/>
        <v>0</v>
      </c>
      <c r="U37" s="16">
        <f t="shared" si="16"/>
        <v>0</v>
      </c>
      <c r="V37" s="21">
        <f t="shared" si="17"/>
        <v>0</v>
      </c>
      <c r="W37" s="6" t="str">
        <f t="shared" si="18"/>
        <v/>
      </c>
      <c r="X37" s="6" t="str">
        <f t="shared" si="19"/>
        <v/>
      </c>
    </row>
    <row r="38" spans="1:24" s="6" customFormat="1" ht="20.100000000000001" customHeight="1" thickBot="1">
      <c r="A38" s="110">
        <v>4</v>
      </c>
      <c r="B38" s="115"/>
      <c r="C38" s="115"/>
      <c r="D38" s="113">
        <v>760</v>
      </c>
      <c r="E38" s="106">
        <v>550</v>
      </c>
      <c r="F38" s="15" t="str">
        <f t="shared" si="20"/>
        <v>Alsó szekrény</v>
      </c>
      <c r="G38" s="115"/>
      <c r="H38" s="117">
        <f t="shared" si="4"/>
        <v>0</v>
      </c>
      <c r="I38" s="22" t="b">
        <f t="shared" si="5"/>
        <v>0</v>
      </c>
      <c r="J38" s="22">
        <f t="shared" si="6"/>
        <v>0</v>
      </c>
      <c r="K38" s="23">
        <f t="shared" si="7"/>
        <v>0</v>
      </c>
      <c r="L38" s="16" t="e">
        <f t="shared" si="8"/>
        <v>#N/A</v>
      </c>
      <c r="M38" s="24" t="str">
        <f t="shared" si="9"/>
        <v>A</v>
      </c>
      <c r="N38" s="25">
        <f t="shared" si="10"/>
        <v>0</v>
      </c>
      <c r="O38" s="25">
        <f t="shared" si="11"/>
        <v>0</v>
      </c>
      <c r="P38" s="19">
        <f t="shared" si="21"/>
        <v>0</v>
      </c>
      <c r="Q38" s="19">
        <f t="shared" si="12"/>
        <v>0</v>
      </c>
      <c r="R38" s="20">
        <f t="shared" si="13"/>
        <v>0</v>
      </c>
      <c r="S38" s="16" t="e">
        <f t="shared" si="14"/>
        <v>#N/A</v>
      </c>
      <c r="T38" s="26">
        <f t="shared" si="15"/>
        <v>0</v>
      </c>
      <c r="U38" s="16">
        <f t="shared" si="16"/>
        <v>0</v>
      </c>
      <c r="V38" s="21">
        <f>_xlfn.IFNA(P38+Q38+R38+S38+U38,0)</f>
        <v>0</v>
      </c>
      <c r="W38" s="6" t="str">
        <f t="shared" si="18"/>
        <v/>
      </c>
      <c r="X38" s="6" t="str">
        <f t="shared" si="19"/>
        <v/>
      </c>
    </row>
    <row r="39" spans="1:24" s="6" customFormat="1" ht="20.100000000000001" customHeight="1" thickBot="1">
      <c r="A39" s="110">
        <v>5</v>
      </c>
      <c r="B39" s="115"/>
      <c r="C39" s="115"/>
      <c r="D39" s="113">
        <v>760</v>
      </c>
      <c r="E39" s="106">
        <v>550</v>
      </c>
      <c r="F39" s="15" t="str">
        <f t="shared" si="20"/>
        <v>Alsó szekrény</v>
      </c>
      <c r="G39" s="115"/>
      <c r="H39" s="117">
        <f t="shared" si="4"/>
        <v>0</v>
      </c>
      <c r="I39" s="22" t="b">
        <f t="shared" si="5"/>
        <v>0</v>
      </c>
      <c r="J39" s="22">
        <f t="shared" si="6"/>
        <v>0</v>
      </c>
      <c r="K39" s="23">
        <f t="shared" si="7"/>
        <v>0</v>
      </c>
      <c r="L39" s="16" t="e">
        <f t="shared" si="8"/>
        <v>#N/A</v>
      </c>
      <c r="M39" s="24" t="str">
        <f t="shared" si="9"/>
        <v>A</v>
      </c>
      <c r="N39" s="25">
        <f t="shared" si="10"/>
        <v>0</v>
      </c>
      <c r="O39" s="25">
        <f t="shared" si="11"/>
        <v>0</v>
      </c>
      <c r="P39" s="19">
        <f t="shared" si="21"/>
        <v>0</v>
      </c>
      <c r="Q39" s="19">
        <f t="shared" si="12"/>
        <v>0</v>
      </c>
      <c r="R39" s="20">
        <f t="shared" si="13"/>
        <v>0</v>
      </c>
      <c r="S39" s="16" t="e">
        <f t="shared" si="14"/>
        <v>#N/A</v>
      </c>
      <c r="T39" s="26">
        <f t="shared" si="15"/>
        <v>0</v>
      </c>
      <c r="U39" s="16">
        <f t="shared" si="16"/>
        <v>0</v>
      </c>
      <c r="V39" s="21">
        <f t="shared" si="17"/>
        <v>0</v>
      </c>
      <c r="W39" s="6" t="str">
        <f t="shared" si="18"/>
        <v/>
      </c>
      <c r="X39" s="6" t="str">
        <f t="shared" si="19"/>
        <v/>
      </c>
    </row>
    <row r="40" spans="1:24" s="6" customFormat="1" ht="20.100000000000001" customHeight="1" thickBot="1">
      <c r="A40" s="110">
        <v>6</v>
      </c>
      <c r="B40" s="115"/>
      <c r="C40" s="115"/>
      <c r="D40" s="113">
        <v>760</v>
      </c>
      <c r="E40" s="106">
        <v>550</v>
      </c>
      <c r="F40" s="23" t="str">
        <f t="shared" si="20"/>
        <v>Alsó szekrény</v>
      </c>
      <c r="G40" s="115"/>
      <c r="H40" s="117">
        <f t="shared" si="4"/>
        <v>0</v>
      </c>
      <c r="I40" s="22" t="b">
        <f t="shared" si="5"/>
        <v>0</v>
      </c>
      <c r="J40" s="22">
        <f t="shared" si="6"/>
        <v>0</v>
      </c>
      <c r="K40" s="23">
        <f t="shared" si="7"/>
        <v>0</v>
      </c>
      <c r="L40" s="16" t="e">
        <f t="shared" si="8"/>
        <v>#N/A</v>
      </c>
      <c r="M40" s="24" t="str">
        <f t="shared" si="9"/>
        <v>A</v>
      </c>
      <c r="N40" s="25">
        <f t="shared" si="10"/>
        <v>0</v>
      </c>
      <c r="O40" s="25">
        <f t="shared" si="11"/>
        <v>0</v>
      </c>
      <c r="P40" s="19">
        <f t="shared" si="21"/>
        <v>0</v>
      </c>
      <c r="Q40" s="19">
        <f t="shared" si="12"/>
        <v>0</v>
      </c>
      <c r="R40" s="20">
        <f t="shared" si="13"/>
        <v>0</v>
      </c>
      <c r="S40" s="16" t="e">
        <f t="shared" si="14"/>
        <v>#N/A</v>
      </c>
      <c r="T40" s="26">
        <f t="shared" si="15"/>
        <v>0</v>
      </c>
      <c r="U40" s="16">
        <f t="shared" si="16"/>
        <v>0</v>
      </c>
      <c r="V40" s="21">
        <f t="shared" si="17"/>
        <v>0</v>
      </c>
      <c r="W40" s="6" t="str">
        <f t="shared" si="18"/>
        <v/>
      </c>
      <c r="X40" s="6" t="str">
        <f t="shared" si="19"/>
        <v/>
      </c>
    </row>
    <row r="41" spans="1:24" s="6" customFormat="1" ht="20.100000000000001" customHeight="1" thickBot="1">
      <c r="A41" s="110">
        <v>7</v>
      </c>
      <c r="B41" s="115"/>
      <c r="C41" s="115"/>
      <c r="D41" s="113">
        <v>760</v>
      </c>
      <c r="E41" s="106">
        <v>550</v>
      </c>
      <c r="F41" s="23" t="str">
        <f>CONCATENATE($B$32,C41)</f>
        <v>Alsó szekrény</v>
      </c>
      <c r="G41" s="115"/>
      <c r="H41" s="117">
        <f t="shared" si="4"/>
        <v>0</v>
      </c>
      <c r="I41" s="22" t="b">
        <f t="shared" si="5"/>
        <v>0</v>
      </c>
      <c r="J41" s="22">
        <f t="shared" si="6"/>
        <v>0</v>
      </c>
      <c r="K41" s="23">
        <f t="shared" si="7"/>
        <v>0</v>
      </c>
      <c r="L41" s="16" t="e">
        <f t="shared" si="8"/>
        <v>#N/A</v>
      </c>
      <c r="M41" s="24" t="str">
        <f t="shared" si="9"/>
        <v>A</v>
      </c>
      <c r="N41" s="25">
        <f t="shared" si="10"/>
        <v>0</v>
      </c>
      <c r="O41" s="25">
        <f t="shared" si="11"/>
        <v>0</v>
      </c>
      <c r="P41" s="19">
        <f t="shared" si="21"/>
        <v>0</v>
      </c>
      <c r="Q41" s="19">
        <f t="shared" si="12"/>
        <v>0</v>
      </c>
      <c r="R41" s="20">
        <f t="shared" si="13"/>
        <v>0</v>
      </c>
      <c r="S41" s="16" t="e">
        <f t="shared" si="14"/>
        <v>#N/A</v>
      </c>
      <c r="T41" s="26">
        <f t="shared" si="15"/>
        <v>0</v>
      </c>
      <c r="U41" s="16">
        <f t="shared" si="16"/>
        <v>0</v>
      </c>
      <c r="V41" s="21">
        <f t="shared" si="17"/>
        <v>0</v>
      </c>
      <c r="W41" s="6" t="str">
        <f t="shared" si="18"/>
        <v/>
      </c>
      <c r="X41" s="6" t="str">
        <f t="shared" si="19"/>
        <v/>
      </c>
    </row>
    <row r="42" spans="1:24" s="6" customFormat="1" ht="20.100000000000001" customHeight="1" thickBot="1">
      <c r="A42" s="110">
        <v>8</v>
      </c>
      <c r="B42" s="115"/>
      <c r="C42" s="115"/>
      <c r="D42" s="113">
        <v>760</v>
      </c>
      <c r="E42" s="106">
        <v>550</v>
      </c>
      <c r="F42" s="23" t="str">
        <f t="shared" si="20"/>
        <v>Alsó szekrény</v>
      </c>
      <c r="G42" s="115"/>
      <c r="H42" s="117">
        <f t="shared" si="4"/>
        <v>0</v>
      </c>
      <c r="I42" s="22" t="b">
        <f t="shared" si="5"/>
        <v>0</v>
      </c>
      <c r="J42" s="22">
        <f t="shared" si="6"/>
        <v>0</v>
      </c>
      <c r="K42" s="23">
        <f t="shared" si="7"/>
        <v>0</v>
      </c>
      <c r="L42" s="16" t="e">
        <f t="shared" si="8"/>
        <v>#N/A</v>
      </c>
      <c r="M42" s="24" t="str">
        <f t="shared" si="9"/>
        <v>A</v>
      </c>
      <c r="N42" s="25">
        <f t="shared" si="10"/>
        <v>0</v>
      </c>
      <c r="O42" s="25">
        <f t="shared" si="11"/>
        <v>0</v>
      </c>
      <c r="P42" s="19">
        <f t="shared" si="21"/>
        <v>0</v>
      </c>
      <c r="Q42" s="19">
        <f t="shared" si="12"/>
        <v>0</v>
      </c>
      <c r="R42" s="20">
        <f t="shared" si="13"/>
        <v>0</v>
      </c>
      <c r="S42" s="16" t="e">
        <f t="shared" si="14"/>
        <v>#N/A</v>
      </c>
      <c r="T42" s="26">
        <f t="shared" si="15"/>
        <v>0</v>
      </c>
      <c r="U42" s="16">
        <f t="shared" si="16"/>
        <v>0</v>
      </c>
      <c r="V42" s="21">
        <f t="shared" si="17"/>
        <v>0</v>
      </c>
      <c r="W42" s="6" t="str">
        <f t="shared" si="18"/>
        <v/>
      </c>
      <c r="X42" s="6" t="str">
        <f t="shared" si="19"/>
        <v/>
      </c>
    </row>
    <row r="43" spans="1:24" s="6" customFormat="1" ht="20.100000000000001" customHeight="1" thickBot="1">
      <c r="A43" s="110">
        <v>9</v>
      </c>
      <c r="B43" s="115"/>
      <c r="C43" s="115"/>
      <c r="D43" s="113">
        <v>760</v>
      </c>
      <c r="E43" s="106">
        <v>550</v>
      </c>
      <c r="F43" s="23" t="str">
        <f t="shared" si="20"/>
        <v>Alsó szekrény</v>
      </c>
      <c r="G43" s="115"/>
      <c r="H43" s="117">
        <f t="shared" si="4"/>
        <v>0</v>
      </c>
      <c r="I43" s="22" t="b">
        <f t="shared" si="5"/>
        <v>0</v>
      </c>
      <c r="J43" s="22">
        <f t="shared" si="6"/>
        <v>0</v>
      </c>
      <c r="K43" s="23">
        <f t="shared" si="7"/>
        <v>0</v>
      </c>
      <c r="L43" s="16" t="e">
        <f t="shared" si="8"/>
        <v>#N/A</v>
      </c>
      <c r="M43" s="24" t="str">
        <f t="shared" si="9"/>
        <v>A</v>
      </c>
      <c r="N43" s="25">
        <f t="shared" si="10"/>
        <v>0</v>
      </c>
      <c r="O43" s="25">
        <f t="shared" si="11"/>
        <v>0</v>
      </c>
      <c r="P43" s="19">
        <f t="shared" si="21"/>
        <v>0</v>
      </c>
      <c r="Q43" s="19">
        <f t="shared" si="12"/>
        <v>0</v>
      </c>
      <c r="R43" s="20">
        <f t="shared" si="13"/>
        <v>0</v>
      </c>
      <c r="S43" s="16" t="e">
        <f t="shared" si="14"/>
        <v>#N/A</v>
      </c>
      <c r="T43" s="26">
        <f t="shared" si="15"/>
        <v>0</v>
      </c>
      <c r="U43" s="16">
        <f t="shared" si="16"/>
        <v>0</v>
      </c>
      <c r="V43" s="21">
        <f t="shared" si="17"/>
        <v>0</v>
      </c>
      <c r="W43" s="6" t="str">
        <f t="shared" si="18"/>
        <v/>
      </c>
      <c r="X43" s="6" t="str">
        <f t="shared" si="19"/>
        <v/>
      </c>
    </row>
    <row r="44" spans="1:24" s="6" customFormat="1" ht="20.100000000000001" customHeight="1" thickBot="1">
      <c r="A44" s="111">
        <v>10</v>
      </c>
      <c r="B44" s="123"/>
      <c r="C44" s="123"/>
      <c r="D44" s="114">
        <v>760</v>
      </c>
      <c r="E44" s="107">
        <v>550</v>
      </c>
      <c r="F44" s="28" t="str">
        <f t="shared" si="20"/>
        <v>Alsó szekrény</v>
      </c>
      <c r="G44" s="123"/>
      <c r="H44" s="118">
        <f t="shared" si="4"/>
        <v>0</v>
      </c>
      <c r="I44" s="27" t="b">
        <f t="shared" si="5"/>
        <v>0</v>
      </c>
      <c r="J44" s="27">
        <f t="shared" si="6"/>
        <v>0</v>
      </c>
      <c r="K44" s="28">
        <f t="shared" si="7"/>
        <v>0</v>
      </c>
      <c r="L44" s="16" t="e">
        <f t="shared" si="8"/>
        <v>#N/A</v>
      </c>
      <c r="M44" s="29" t="str">
        <f t="shared" si="9"/>
        <v>A</v>
      </c>
      <c r="N44" s="30">
        <f t="shared" si="10"/>
        <v>0</v>
      </c>
      <c r="O44" s="30">
        <f t="shared" si="11"/>
        <v>0</v>
      </c>
      <c r="P44" s="19">
        <f t="shared" si="21"/>
        <v>0</v>
      </c>
      <c r="Q44" s="19">
        <f t="shared" si="12"/>
        <v>0</v>
      </c>
      <c r="R44" s="20">
        <f t="shared" si="13"/>
        <v>0</v>
      </c>
      <c r="S44" s="16" t="e">
        <f t="shared" si="14"/>
        <v>#N/A</v>
      </c>
      <c r="T44" s="31">
        <f t="shared" si="15"/>
        <v>0</v>
      </c>
      <c r="U44" s="16">
        <f t="shared" si="16"/>
        <v>0</v>
      </c>
      <c r="V44" s="21">
        <f t="shared" si="17"/>
        <v>0</v>
      </c>
      <c r="W44" s="6" t="str">
        <f t="shared" si="18"/>
        <v/>
      </c>
      <c r="X44" s="6" t="str">
        <f t="shared" si="19"/>
        <v/>
      </c>
    </row>
    <row r="45" spans="1:24" s="6" customFormat="1" ht="15.75" thickBot="1"/>
    <row r="46" spans="1:24" s="6" customFormat="1" ht="30" customHeight="1" thickBot="1">
      <c r="A46" s="5"/>
      <c r="B46" s="58" t="s">
        <v>14</v>
      </c>
      <c r="C46" s="59"/>
      <c r="D46" s="104"/>
      <c r="E46" s="104"/>
      <c r="F46" s="60"/>
      <c r="G46" s="61"/>
      <c r="H46" s="61"/>
      <c r="I46" s="61"/>
      <c r="J46" s="61"/>
      <c r="K46" s="61"/>
      <c r="L46" s="61"/>
      <c r="M46" s="60"/>
      <c r="N46" s="60"/>
      <c r="O46" s="60"/>
      <c r="P46" s="219"/>
      <c r="Q46" s="220"/>
      <c r="R46" s="221"/>
      <c r="S46" s="61"/>
      <c r="T46" s="61"/>
      <c r="U46" s="108"/>
      <c r="V46" s="63"/>
    </row>
    <row r="47" spans="1:24" s="8" customFormat="1" ht="30" customHeight="1" thickBot="1">
      <c r="A47" s="7" t="s">
        <v>41</v>
      </c>
      <c r="B47" s="47" t="s">
        <v>42</v>
      </c>
      <c r="C47" s="47" t="s">
        <v>43</v>
      </c>
      <c r="D47" s="47" t="s">
        <v>46</v>
      </c>
      <c r="E47" s="47" t="s">
        <v>47</v>
      </c>
      <c r="F47" s="47" t="s">
        <v>44</v>
      </c>
      <c r="G47" s="48" t="s">
        <v>45</v>
      </c>
      <c r="H47" s="47" t="s">
        <v>39</v>
      </c>
      <c r="I47" s="47"/>
      <c r="J47" s="47"/>
      <c r="K47" s="71"/>
      <c r="L47" s="52" t="s">
        <v>86</v>
      </c>
      <c r="M47" s="70"/>
      <c r="N47" s="47"/>
      <c r="O47" s="71"/>
      <c r="P47" s="64"/>
      <c r="Q47" s="65"/>
      <c r="R47" s="66"/>
      <c r="S47" s="52" t="s">
        <v>52</v>
      </c>
      <c r="T47" s="69"/>
      <c r="U47" s="72" t="s">
        <v>54</v>
      </c>
      <c r="V47" s="73" t="s">
        <v>55</v>
      </c>
    </row>
    <row r="48" spans="1:24" s="8" customFormat="1" ht="3" customHeight="1" thickBot="1">
      <c r="A48" s="9"/>
      <c r="B48" s="120"/>
      <c r="C48" s="120"/>
      <c r="D48" s="120"/>
      <c r="G48" s="120"/>
      <c r="L48" s="10"/>
      <c r="R48" s="11"/>
      <c r="S48" s="10"/>
      <c r="T48" s="10"/>
      <c r="U48" s="12"/>
      <c r="V48" s="13"/>
    </row>
    <row r="49" spans="1:24" s="6" customFormat="1" ht="20.100000000000001" customHeight="1" thickBot="1">
      <c r="A49" s="109">
        <v>1</v>
      </c>
      <c r="B49" s="119"/>
      <c r="C49" s="119"/>
      <c r="D49" s="119"/>
      <c r="E49" s="112">
        <v>330</v>
      </c>
      <c r="F49" s="15" t="str">
        <f>CONCATENATE(C49,"/",D49)</f>
        <v>/</v>
      </c>
      <c r="G49" s="119"/>
      <c r="H49" s="116">
        <f t="shared" ref="H49:H58" si="22">IF(G49="",0,(C49*D49*0.000001*B49))</f>
        <v>0</v>
      </c>
      <c r="I49" s="14"/>
      <c r="J49" s="14"/>
      <c r="K49" s="15"/>
      <c r="L49" s="16" t="e">
        <f>ROUNDUP(IF(D49=600,VLOOKUP(F49,$P$4:Q$23,2,FALSE)*2,VLOOKUP(F49,P4:Q23,2,FALSE)*3),-3)*B49</f>
        <v>#N/A</v>
      </c>
      <c r="M49" s="17"/>
      <c r="N49" s="18"/>
      <c r="O49" s="18"/>
      <c r="P49" s="32"/>
      <c r="Q49" s="32"/>
      <c r="R49" s="33"/>
      <c r="S49" s="16" t="e">
        <f>VLOOKUP(F49,$B$11:$G$25,6,FALSE)*B49+L49</f>
        <v>#N/A</v>
      </c>
      <c r="T49" s="34"/>
      <c r="U49" s="16">
        <f>ROUNDUP($U$32*H49+IF(G49=$E$4,2*$T$7+$T$9,IF(G49=$E$5,4*$T$7+2*$T$9,IF(G49=$E$6,3*$T$9,IF(G49=$E$7,4*$T$9,IF(G49=$E$8,5*$T$9))))),-2)</f>
        <v>0</v>
      </c>
      <c r="V49" s="21">
        <f>_xlfn.IFNA(P49+Q49+R49+S49+U49,0)</f>
        <v>0</v>
      </c>
      <c r="W49" s="6" t="str">
        <f>IF(AND(C49&lt;400,G49=$E$5),"Kétfelé nyíló keskeny ajtók. Jó így?","")</f>
        <v/>
      </c>
      <c r="X49" s="6" t="str">
        <f>IF(AND(C49=800,G49="egyben nyíló"),"Válasszon kétfelé nyíló típust!","")</f>
        <v/>
      </c>
    </row>
    <row r="50" spans="1:24" s="6" customFormat="1" ht="20.100000000000001" customHeight="1" thickBot="1">
      <c r="A50" s="110">
        <v>2</v>
      </c>
      <c r="B50" s="115"/>
      <c r="C50" s="115"/>
      <c r="D50" s="115"/>
      <c r="E50" s="113">
        <v>330</v>
      </c>
      <c r="F50" s="15" t="str">
        <f t="shared" ref="F50:F58" si="23">CONCATENATE(C50,"/",D50)</f>
        <v>/</v>
      </c>
      <c r="G50" s="115"/>
      <c r="H50" s="117">
        <f t="shared" si="22"/>
        <v>0</v>
      </c>
      <c r="I50" s="22"/>
      <c r="J50" s="22"/>
      <c r="K50" s="23"/>
      <c r="L50" s="16" t="e">
        <f>ROUNDUP(IF(D50=600,VLOOKUP(F50,$P$4:Q$23,2,FALSE)*2,VLOOKUP(F50,P5:Q24,2,FALSE)*3)*B50,-3)</f>
        <v>#N/A</v>
      </c>
      <c r="M50" s="24"/>
      <c r="N50" s="25"/>
      <c r="O50" s="25"/>
      <c r="P50" s="35"/>
      <c r="Q50" s="35"/>
      <c r="R50" s="36"/>
      <c r="S50" s="16" t="e">
        <f t="shared" ref="S50:S58" si="24">VLOOKUP(F50,$B$11:$G$25,6,FALSE)*B50+L50</f>
        <v>#N/A</v>
      </c>
      <c r="T50" s="37"/>
      <c r="U50" s="16">
        <f t="shared" ref="U50:U58" si="25">ROUNDUP($U$32*H50+IF(G50=$E$4,2*$T$7+$T$9,IF(G50=$E$5,4*$T$7+2*$T$9,IF(G50=$E$6,3*$T$9,IF(G50=$E$7,4*$T$9,IF(G50=$E$8,5*$T$9))))),-2)</f>
        <v>0</v>
      </c>
      <c r="V50" s="21">
        <f t="shared" ref="V50:V58" si="26">_xlfn.IFNA(P50+Q50+R50+S50+U50,0)</f>
        <v>0</v>
      </c>
      <c r="W50" s="6" t="str">
        <f t="shared" ref="W50:W58" si="27">IF(AND(C50&lt;400,G50=$E$5),"Kétfelé nyíló keskeny ajtók. Jó így?","")</f>
        <v/>
      </c>
      <c r="X50" s="6" t="str">
        <f t="shared" ref="X50:X58" si="28">IF(AND(C50=800,G50="egyben nyíló"),"Válasszon kétfelé nyíló típust!","")</f>
        <v/>
      </c>
    </row>
    <row r="51" spans="1:24" s="6" customFormat="1" ht="20.100000000000001" customHeight="1" thickBot="1">
      <c r="A51" s="110">
        <v>3</v>
      </c>
      <c r="B51" s="115"/>
      <c r="C51" s="115"/>
      <c r="D51" s="115"/>
      <c r="E51" s="113">
        <v>330</v>
      </c>
      <c r="F51" s="15" t="str">
        <f t="shared" si="23"/>
        <v>/</v>
      </c>
      <c r="G51" s="115"/>
      <c r="H51" s="117">
        <f t="shared" si="22"/>
        <v>0</v>
      </c>
      <c r="I51" s="22"/>
      <c r="J51" s="22"/>
      <c r="K51" s="23"/>
      <c r="L51" s="16" t="e">
        <f>ROUNDUP(IF(D51=600,VLOOKUP(F51,$P$4:Q$23,2,FALSE)*2,VLOOKUP(F51,P6:Q25,2,FALSE)*3)*B51,-3)</f>
        <v>#N/A</v>
      </c>
      <c r="M51" s="24"/>
      <c r="N51" s="25"/>
      <c r="O51" s="25"/>
      <c r="P51" s="35"/>
      <c r="Q51" s="35"/>
      <c r="R51" s="36"/>
      <c r="S51" s="16" t="e">
        <f t="shared" si="24"/>
        <v>#N/A</v>
      </c>
      <c r="T51" s="37"/>
      <c r="U51" s="16">
        <f t="shared" si="25"/>
        <v>0</v>
      </c>
      <c r="V51" s="21">
        <f t="shared" si="26"/>
        <v>0</v>
      </c>
      <c r="W51" s="6" t="str">
        <f t="shared" si="27"/>
        <v/>
      </c>
      <c r="X51" s="6" t="str">
        <f t="shared" si="28"/>
        <v/>
      </c>
    </row>
    <row r="52" spans="1:24" s="6" customFormat="1" ht="20.100000000000001" customHeight="1" thickBot="1">
      <c r="A52" s="110">
        <v>4</v>
      </c>
      <c r="B52" s="115"/>
      <c r="C52" s="115"/>
      <c r="D52" s="115"/>
      <c r="E52" s="113">
        <v>330</v>
      </c>
      <c r="F52" s="15" t="str">
        <f>CONCATENATE(C52,"/",D52)</f>
        <v>/</v>
      </c>
      <c r="G52" s="115"/>
      <c r="H52" s="117">
        <f t="shared" si="22"/>
        <v>0</v>
      </c>
      <c r="I52" s="22"/>
      <c r="J52" s="22"/>
      <c r="K52" s="23"/>
      <c r="L52" s="16" t="e">
        <f>ROUNDUP(IF(D52=600,VLOOKUP(F52,$P$4:Q$23,2,FALSE)*2,VLOOKUP(F52,P7:Q26,2,FALSE)*3)*B52,-3)</f>
        <v>#N/A</v>
      </c>
      <c r="M52" s="24"/>
      <c r="N52" s="25"/>
      <c r="O52" s="25"/>
      <c r="P52" s="35"/>
      <c r="Q52" s="35"/>
      <c r="R52" s="36"/>
      <c r="S52" s="16" t="e">
        <f t="shared" si="24"/>
        <v>#N/A</v>
      </c>
      <c r="T52" s="37"/>
      <c r="U52" s="16">
        <f t="shared" si="25"/>
        <v>0</v>
      </c>
      <c r="V52" s="21">
        <f t="shared" si="26"/>
        <v>0</v>
      </c>
      <c r="W52" s="6" t="str">
        <f t="shared" si="27"/>
        <v/>
      </c>
      <c r="X52" s="6" t="str">
        <f t="shared" si="28"/>
        <v/>
      </c>
    </row>
    <row r="53" spans="1:24" s="6" customFormat="1" ht="20.100000000000001" customHeight="1" thickBot="1">
      <c r="A53" s="110">
        <v>5</v>
      </c>
      <c r="B53" s="115"/>
      <c r="C53" s="115"/>
      <c r="D53" s="115"/>
      <c r="E53" s="113">
        <v>330</v>
      </c>
      <c r="F53" s="15" t="str">
        <f t="shared" si="23"/>
        <v>/</v>
      </c>
      <c r="G53" s="115"/>
      <c r="H53" s="117">
        <f t="shared" si="22"/>
        <v>0</v>
      </c>
      <c r="I53" s="22"/>
      <c r="J53" s="22"/>
      <c r="K53" s="23"/>
      <c r="L53" s="16" t="e">
        <f>ROUNDUP(IF(D53=600,VLOOKUP(F53,$P$4:Q$23,2,FALSE)*2,VLOOKUP(F53,P8:Q27,2,FALSE)*3)*B53,-3)</f>
        <v>#N/A</v>
      </c>
      <c r="M53" s="24"/>
      <c r="N53" s="25"/>
      <c r="O53" s="25"/>
      <c r="P53" s="35"/>
      <c r="Q53" s="35"/>
      <c r="R53" s="36"/>
      <c r="S53" s="16" t="e">
        <f t="shared" si="24"/>
        <v>#N/A</v>
      </c>
      <c r="T53" s="37"/>
      <c r="U53" s="16">
        <f t="shared" si="25"/>
        <v>0</v>
      </c>
      <c r="V53" s="21">
        <f t="shared" si="26"/>
        <v>0</v>
      </c>
      <c r="W53" s="6" t="str">
        <f t="shared" si="27"/>
        <v/>
      </c>
      <c r="X53" s="6" t="str">
        <f t="shared" si="28"/>
        <v/>
      </c>
    </row>
    <row r="54" spans="1:24" s="6" customFormat="1" ht="20.100000000000001" customHeight="1" thickBot="1">
      <c r="A54" s="110">
        <v>6</v>
      </c>
      <c r="B54" s="115"/>
      <c r="C54" s="115"/>
      <c r="D54" s="115"/>
      <c r="E54" s="113">
        <v>330</v>
      </c>
      <c r="F54" s="15" t="str">
        <f t="shared" si="23"/>
        <v>/</v>
      </c>
      <c r="G54" s="115"/>
      <c r="H54" s="117">
        <f t="shared" si="22"/>
        <v>0</v>
      </c>
      <c r="I54" s="22"/>
      <c r="J54" s="22"/>
      <c r="K54" s="23"/>
      <c r="L54" s="16" t="e">
        <f>ROUNDUP(IF(D54=600,VLOOKUP(F54,$P$4:Q$23,2,FALSE)*2,VLOOKUP(F54,P9:Q28,2,FALSE)*3)*B54,-3)</f>
        <v>#N/A</v>
      </c>
      <c r="M54" s="24"/>
      <c r="N54" s="25"/>
      <c r="O54" s="25"/>
      <c r="P54" s="35"/>
      <c r="Q54" s="35"/>
      <c r="R54" s="36"/>
      <c r="S54" s="16" t="e">
        <f t="shared" si="24"/>
        <v>#N/A</v>
      </c>
      <c r="T54" s="37"/>
      <c r="U54" s="16">
        <f t="shared" si="25"/>
        <v>0</v>
      </c>
      <c r="V54" s="21">
        <f t="shared" si="26"/>
        <v>0</v>
      </c>
      <c r="W54" s="6" t="str">
        <f t="shared" si="27"/>
        <v/>
      </c>
      <c r="X54" s="6" t="str">
        <f t="shared" si="28"/>
        <v/>
      </c>
    </row>
    <row r="55" spans="1:24" s="6" customFormat="1" ht="20.100000000000001" customHeight="1" thickBot="1">
      <c r="A55" s="110">
        <v>7</v>
      </c>
      <c r="B55" s="115"/>
      <c r="C55" s="115"/>
      <c r="D55" s="115"/>
      <c r="E55" s="113">
        <v>330</v>
      </c>
      <c r="F55" s="15" t="str">
        <f>CONCATENATE(C55,"/",D55)</f>
        <v>/</v>
      </c>
      <c r="G55" s="115"/>
      <c r="H55" s="117">
        <f t="shared" si="22"/>
        <v>0</v>
      </c>
      <c r="I55" s="22"/>
      <c r="J55" s="22"/>
      <c r="K55" s="23"/>
      <c r="L55" s="16" t="e">
        <f>ROUNDUP(IF(D55=600,VLOOKUP(F55,$P$4:Q$23,2,FALSE)*2,VLOOKUP(F55,P10:Q29,2,FALSE)*3)*B55,-3)</f>
        <v>#N/A</v>
      </c>
      <c r="M55" s="24"/>
      <c r="N55" s="25"/>
      <c r="O55" s="25"/>
      <c r="P55" s="35"/>
      <c r="Q55" s="35"/>
      <c r="R55" s="36"/>
      <c r="S55" s="16" t="e">
        <f t="shared" si="24"/>
        <v>#N/A</v>
      </c>
      <c r="T55" s="37"/>
      <c r="U55" s="16">
        <f t="shared" si="25"/>
        <v>0</v>
      </c>
      <c r="V55" s="21">
        <f t="shared" si="26"/>
        <v>0</v>
      </c>
      <c r="W55" s="6" t="str">
        <f t="shared" si="27"/>
        <v/>
      </c>
      <c r="X55" s="6" t="str">
        <f t="shared" si="28"/>
        <v/>
      </c>
    </row>
    <row r="56" spans="1:24" s="6" customFormat="1" ht="20.100000000000001" customHeight="1" thickBot="1">
      <c r="A56" s="110">
        <v>8</v>
      </c>
      <c r="B56" s="115"/>
      <c r="C56" s="115"/>
      <c r="D56" s="115"/>
      <c r="E56" s="113">
        <v>330</v>
      </c>
      <c r="F56" s="15" t="str">
        <f t="shared" si="23"/>
        <v>/</v>
      </c>
      <c r="G56" s="115"/>
      <c r="H56" s="117">
        <f t="shared" si="22"/>
        <v>0</v>
      </c>
      <c r="I56" s="22"/>
      <c r="J56" s="22"/>
      <c r="K56" s="23"/>
      <c r="L56" s="16" t="e">
        <f>ROUNDUP(IF(D56=600,VLOOKUP(F56,$P$4:Q$23,2,FALSE)*2,VLOOKUP(F56,P11:Q30,2,FALSE)*3)*B56,-3)</f>
        <v>#N/A</v>
      </c>
      <c r="M56" s="24"/>
      <c r="N56" s="25"/>
      <c r="O56" s="25"/>
      <c r="P56" s="35"/>
      <c r="Q56" s="35"/>
      <c r="R56" s="36"/>
      <c r="S56" s="16" t="e">
        <f t="shared" si="24"/>
        <v>#N/A</v>
      </c>
      <c r="T56" s="37"/>
      <c r="U56" s="16">
        <f t="shared" si="25"/>
        <v>0</v>
      </c>
      <c r="V56" s="21">
        <f t="shared" si="26"/>
        <v>0</v>
      </c>
      <c r="W56" s="6" t="str">
        <f t="shared" si="27"/>
        <v/>
      </c>
      <c r="X56" s="6" t="str">
        <f t="shared" si="28"/>
        <v/>
      </c>
    </row>
    <row r="57" spans="1:24" s="6" customFormat="1" ht="20.100000000000001" customHeight="1" thickBot="1">
      <c r="A57" s="110">
        <v>9</v>
      </c>
      <c r="B57" s="115"/>
      <c r="C57" s="115"/>
      <c r="D57" s="115"/>
      <c r="E57" s="113">
        <v>330</v>
      </c>
      <c r="F57" s="15" t="str">
        <f t="shared" si="23"/>
        <v>/</v>
      </c>
      <c r="G57" s="115"/>
      <c r="H57" s="117">
        <f t="shared" si="22"/>
        <v>0</v>
      </c>
      <c r="I57" s="22"/>
      <c r="J57" s="22"/>
      <c r="K57" s="23"/>
      <c r="L57" s="16" t="e">
        <f>ROUNDUP(IF(D57=600,VLOOKUP(F57,$P$4:Q$23,2,FALSE)*2,VLOOKUP(F57,P12:Q31,2,FALSE)*3)*B57,-3)</f>
        <v>#N/A</v>
      </c>
      <c r="M57" s="24"/>
      <c r="N57" s="25"/>
      <c r="O57" s="25"/>
      <c r="P57" s="35"/>
      <c r="Q57" s="35"/>
      <c r="R57" s="36"/>
      <c r="S57" s="16" t="e">
        <f t="shared" si="24"/>
        <v>#N/A</v>
      </c>
      <c r="T57" s="37"/>
      <c r="U57" s="16">
        <f t="shared" si="25"/>
        <v>0</v>
      </c>
      <c r="V57" s="21">
        <f t="shared" si="26"/>
        <v>0</v>
      </c>
      <c r="W57" s="6" t="str">
        <f t="shared" si="27"/>
        <v/>
      </c>
      <c r="X57" s="6" t="str">
        <f t="shared" si="28"/>
        <v/>
      </c>
    </row>
    <row r="58" spans="1:24" s="6" customFormat="1" ht="20.100000000000001" customHeight="1" thickBot="1">
      <c r="A58" s="111">
        <v>10</v>
      </c>
      <c r="B58" s="123"/>
      <c r="C58" s="123"/>
      <c r="D58" s="123"/>
      <c r="E58" s="114">
        <v>330</v>
      </c>
      <c r="F58" s="15" t="str">
        <f t="shared" si="23"/>
        <v>/</v>
      </c>
      <c r="G58" s="124"/>
      <c r="H58" s="118">
        <f t="shared" si="22"/>
        <v>0</v>
      </c>
      <c r="I58" s="27"/>
      <c r="J58" s="27"/>
      <c r="K58" s="28"/>
      <c r="L58" s="16" t="e">
        <f>ROUNDUP(IF(D58=600,VLOOKUP(F58,$P$4:Q$23,2,FALSE)*2,VLOOKUP(F58,P13:Q32,2,FALSE)*3)*B58,-3)</f>
        <v>#N/A</v>
      </c>
      <c r="M58" s="29"/>
      <c r="N58" s="30"/>
      <c r="O58" s="30"/>
      <c r="P58" s="38"/>
      <c r="Q58" s="38"/>
      <c r="R58" s="39"/>
      <c r="S58" s="16" t="e">
        <f t="shared" si="24"/>
        <v>#N/A</v>
      </c>
      <c r="T58" s="40"/>
      <c r="U58" s="74">
        <f t="shared" si="25"/>
        <v>0</v>
      </c>
      <c r="V58" s="75">
        <f t="shared" si="26"/>
        <v>0</v>
      </c>
      <c r="W58" s="6" t="str">
        <f t="shared" si="27"/>
        <v/>
      </c>
      <c r="X58" s="6" t="str">
        <f t="shared" si="28"/>
        <v/>
      </c>
    </row>
    <row r="59" spans="1:24" s="6" customFormat="1" ht="15.75" thickBot="1">
      <c r="G59" s="125"/>
      <c r="U59" s="41"/>
      <c r="V59" s="41"/>
    </row>
    <row r="60" spans="1:24" s="6" customFormat="1" ht="16.5" thickTop="1" thickBot="1">
      <c r="U60" s="42" t="s">
        <v>56</v>
      </c>
      <c r="V60" s="43">
        <f>SUM(V35:V44,V49:V58)</f>
        <v>0</v>
      </c>
    </row>
    <row r="61" spans="1:24" s="6" customFormat="1" ht="15.75" thickTop="1"/>
    <row r="62" spans="1:24" s="44" customFormat="1"/>
  </sheetData>
  <sheetProtection sheet="1" selectLockedCells="1"/>
  <mergeCells count="5">
    <mergeCell ref="P32:R32"/>
    <mergeCell ref="P46:R46"/>
    <mergeCell ref="A31:P31"/>
    <mergeCell ref="Q29:R29"/>
    <mergeCell ref="A29:L29"/>
  </mergeCells>
  <conditionalFormatting sqref="V49:V58 L49:L58 S49:S58">
    <cfRule type="containsErrors" dxfId="14" priority="7">
      <formula>ISERROR(L49)</formula>
    </cfRule>
  </conditionalFormatting>
  <conditionalFormatting sqref="U49:V58 L49:L58 S49:S58">
    <cfRule type="cellIs" dxfId="13" priority="6" operator="equal">
      <formula>0</formula>
    </cfRule>
  </conditionalFormatting>
  <conditionalFormatting sqref="L35:L44 S35:S44">
    <cfRule type="containsErrors" dxfId="12" priority="5">
      <formula>ISERROR(L35)</formula>
    </cfRule>
  </conditionalFormatting>
  <conditionalFormatting sqref="T35:V44 P35:R44">
    <cfRule type="cellIs" dxfId="11" priority="4" operator="equal">
      <formula>0</formula>
    </cfRule>
  </conditionalFormatting>
  <conditionalFormatting sqref="W35:W44 W49:W58">
    <cfRule type="notContainsBlanks" dxfId="10" priority="3">
      <formula>LEN(TRIM(W35))&gt;0</formula>
    </cfRule>
  </conditionalFormatting>
  <conditionalFormatting sqref="X35:X44">
    <cfRule type="notContainsBlanks" dxfId="9" priority="2">
      <formula>LEN(TRIM(X35))&gt;0</formula>
    </cfRule>
  </conditionalFormatting>
  <conditionalFormatting sqref="X49:X58">
    <cfRule type="notContainsBlanks" dxfId="8" priority="1">
      <formula>LEN(TRIM(X49))&gt;0</formula>
    </cfRule>
  </conditionalFormatting>
  <dataValidations xWindow="116" yWindow="773" count="8">
    <dataValidation allowBlank="1" showInputMessage="1" showErrorMessage="1" promptTitle="Front négyzetméter ár" prompt="Kérjük írja be a választott fronttípus négyzetméter árát!" sqref="U32 U46"/>
    <dataValidation showInputMessage="1" showErrorMessage="1" errorTitle="Érvénytelen" error="Válasszon a listából!" sqref="F35:F44 F49:F58"/>
    <dataValidation allowBlank="1" showInputMessage="1" showErrorMessage="1" promptTitle="Darabszám" prompt="Kérjük írja be a darabszámot!" sqref="B35:B44 B49:B58"/>
    <dataValidation type="list" showInputMessage="1" showErrorMessage="1" errorTitle="Érvénytelen" error="Válasszon a listából!" promptTitle="Szélesség" prompt="Válasszon egy szélességet!" sqref="C35:C44 C49:C58">
      <formula1>$D$4:$D$8</formula1>
    </dataValidation>
    <dataValidation type="list" showInputMessage="1" showErrorMessage="1" errorTitle="Érvénytelen" error="Válasszon a listából!" promptTitle="Típus" prompt="Válasszon egy korpusz típust!" sqref="G35:G44">
      <formula1>$E$4:$E$8</formula1>
    </dataValidation>
    <dataValidation allowBlank="1" showInputMessage="1" showErrorMessage="1" promptTitle="Polcok száma" prompt="1000mm és 800mm magas korpusz esetén 3db, míg 600mm magas esetben 2db polccal számol a rendszer." sqref="L47"/>
    <dataValidation type="list" showInputMessage="1" showErrorMessage="1" errorTitle="Érvénytelen" error="Válasszon a listából!" promptTitle="Típus" prompt="Válasszon egy korpusz típust!" sqref="G49:G58">
      <formula1>$E$11:$E$12</formula1>
    </dataValidation>
    <dataValidation type="list" showInputMessage="1" showErrorMessage="1" errorTitle="hiba" error="Kérjük válasszon a listából!" promptTitle="Magasság" prompt="Kérjük válasszon magasságot!" sqref="D49:D58">
      <formula1>$D$11:$D$13</formula1>
    </dataValidation>
  </dataValidations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49"/>
  <sheetViews>
    <sheetView topLeftCell="A9" workbookViewId="0">
      <selection activeCell="B15" sqref="B15"/>
    </sheetView>
  </sheetViews>
  <sheetFormatPr defaultRowHeight="15"/>
  <cols>
    <col min="1" max="1" width="3.85546875" style="1" bestFit="1" customWidth="1"/>
    <col min="2" max="2" width="8.85546875" style="1" customWidth="1"/>
    <col min="3" max="7" width="11.5703125" style="1" customWidth="1"/>
    <col min="8" max="24" width="11.5703125" style="1" hidden="1" customWidth="1"/>
    <col min="25" max="28" width="9.140625" style="1" hidden="1" customWidth="1"/>
    <col min="29" max="29" width="12.140625" style="1" bestFit="1" customWidth="1"/>
    <col min="30" max="35" width="10.28515625" style="1" hidden="1" customWidth="1"/>
    <col min="36" max="38" width="10.28515625" style="1" customWidth="1"/>
    <col min="39" max="39" width="12" style="1" bestFit="1" customWidth="1"/>
    <col min="40" max="40" width="10.28515625" style="1" bestFit="1" customWidth="1"/>
    <col min="41" max="42" width="13.42578125" style="1" customWidth="1"/>
    <col min="43" max="43" width="16.85546875" style="1" customWidth="1"/>
    <col min="44" max="44" width="10.28515625" style="1" bestFit="1" customWidth="1"/>
    <col min="45" max="45" width="33.28515625" style="1" customWidth="1"/>
    <col min="46" max="46" width="42.140625" style="1" customWidth="1"/>
    <col min="47" max="16384" width="9.140625" style="1"/>
  </cols>
  <sheetData>
    <row r="1" spans="1:46" hidden="1">
      <c r="G1" s="1" t="s">
        <v>2</v>
      </c>
      <c r="Z1" s="142">
        <v>270</v>
      </c>
      <c r="AA1" s="142">
        <v>300</v>
      </c>
      <c r="AB1" s="142">
        <v>350</v>
      </c>
      <c r="AC1" s="142">
        <v>400</v>
      </c>
      <c r="AD1" s="142">
        <v>450</v>
      </c>
      <c r="AE1" s="142">
        <v>500</v>
      </c>
      <c r="AF1" s="142">
        <v>550</v>
      </c>
    </row>
    <row r="2" spans="1:46" hidden="1">
      <c r="G2" s="1" t="s">
        <v>114</v>
      </c>
      <c r="Y2" s="1" t="s">
        <v>48</v>
      </c>
      <c r="Z2" s="1">
        <v>5700</v>
      </c>
      <c r="AA2" s="1">
        <v>5900</v>
      </c>
      <c r="AB2" s="1">
        <v>6200</v>
      </c>
      <c r="AC2" s="1">
        <v>6500</v>
      </c>
      <c r="AD2" s="1">
        <v>6700</v>
      </c>
      <c r="AE2" s="1">
        <v>6900</v>
      </c>
      <c r="AF2" s="1">
        <v>8200</v>
      </c>
    </row>
    <row r="3" spans="1:46" hidden="1">
      <c r="G3" s="1" t="s">
        <v>15</v>
      </c>
      <c r="Y3" s="1" t="s">
        <v>49</v>
      </c>
      <c r="Z3" s="1">
        <v>6500</v>
      </c>
      <c r="AA3" s="1">
        <v>6700</v>
      </c>
      <c r="AB3" s="1">
        <v>7100</v>
      </c>
      <c r="AC3" s="1">
        <v>7300</v>
      </c>
      <c r="AD3" s="1">
        <v>7500</v>
      </c>
      <c r="AE3" s="1">
        <v>7700</v>
      </c>
      <c r="AF3" s="1">
        <v>9200</v>
      </c>
    </row>
    <row r="4" spans="1:46" hidden="1">
      <c r="G4" s="1" t="s">
        <v>75</v>
      </c>
      <c r="Y4" s="1" t="s">
        <v>50</v>
      </c>
      <c r="Z4" s="1">
        <v>6900</v>
      </c>
      <c r="AA4" s="1">
        <v>7200</v>
      </c>
      <c r="AB4" s="1">
        <v>7500</v>
      </c>
      <c r="AC4" s="1">
        <v>8100</v>
      </c>
      <c r="AD4" s="1">
        <v>8300</v>
      </c>
      <c r="AE4" s="1">
        <v>8500</v>
      </c>
      <c r="AF4" s="1">
        <v>10000</v>
      </c>
    </row>
    <row r="5" spans="1:46" hidden="1">
      <c r="G5" s="1" t="s">
        <v>76</v>
      </c>
    </row>
    <row r="6" spans="1:46" hidden="1">
      <c r="G6" s="1" t="s">
        <v>80</v>
      </c>
    </row>
    <row r="7" spans="1:46" hidden="1"/>
    <row r="8" spans="1:46" s="4" customFormat="1" ht="30" hidden="1" customHeight="1" thickBot="1">
      <c r="AC8" s="143"/>
    </row>
    <row r="9" spans="1:46" s="4" customFormat="1" ht="30" customHeight="1" thickBot="1">
      <c r="A9" s="226" t="s">
        <v>59</v>
      </c>
      <c r="B9" s="227"/>
      <c r="C9" s="227"/>
      <c r="D9" s="227"/>
      <c r="E9" s="227"/>
      <c r="F9" s="227"/>
      <c r="G9" s="227"/>
      <c r="H9" s="227"/>
      <c r="I9" s="227"/>
      <c r="J9" s="227"/>
      <c r="K9" s="227"/>
      <c r="L9" s="227"/>
      <c r="M9" s="227"/>
      <c r="N9" s="227"/>
      <c r="O9" s="227"/>
      <c r="P9" s="227"/>
      <c r="Q9" s="227"/>
      <c r="R9" s="227"/>
      <c r="S9" s="227"/>
      <c r="T9" s="227"/>
      <c r="U9" s="227"/>
      <c r="V9" s="227"/>
      <c r="W9" s="227"/>
      <c r="X9" s="227"/>
      <c r="AC9" s="140"/>
    </row>
    <row r="10" spans="1:46" s="4" customFormat="1" ht="30" customHeight="1" thickBot="1"/>
    <row r="11" spans="1:46" s="4" customFormat="1" ht="23.25" customHeight="1" thickBot="1">
      <c r="A11" s="222" t="s">
        <v>58</v>
      </c>
      <c r="B11" s="223"/>
      <c r="C11" s="223"/>
      <c r="D11" s="223"/>
      <c r="E11" s="223"/>
      <c r="F11" s="223"/>
      <c r="G11" s="223"/>
      <c r="H11" s="223"/>
      <c r="I11" s="223"/>
      <c r="J11" s="223"/>
      <c r="K11" s="223"/>
      <c r="L11" s="223"/>
      <c r="M11" s="223"/>
      <c r="N11" s="223"/>
      <c r="O11" s="223"/>
      <c r="P11" s="223"/>
      <c r="Q11" s="223"/>
      <c r="R11" s="223"/>
      <c r="S11" s="223"/>
      <c r="T11" s="223"/>
      <c r="U11" s="223"/>
      <c r="V11" s="223"/>
      <c r="W11" s="223"/>
      <c r="X11" s="229"/>
      <c r="Y11" s="1" t="s">
        <v>116</v>
      </c>
      <c r="Z11" s="1" t="s">
        <v>117</v>
      </c>
      <c r="AA11" s="1" t="s">
        <v>118</v>
      </c>
      <c r="AC11" s="162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163"/>
      <c r="AO11" s="206" t="s">
        <v>125</v>
      </c>
      <c r="AP11" s="206" t="s">
        <v>124</v>
      </c>
      <c r="AQ11" s="160" t="s">
        <v>57</v>
      </c>
      <c r="AR11" s="165"/>
      <c r="AS11" s="148"/>
    </row>
    <row r="12" spans="1:46" s="6" customFormat="1" ht="30" customHeight="1" thickBot="1">
      <c r="A12" s="5"/>
      <c r="B12" s="150" t="s">
        <v>10</v>
      </c>
      <c r="C12" s="151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3">
        <v>105</v>
      </c>
      <c r="Z12" s="173">
        <v>165</v>
      </c>
      <c r="AA12" s="173">
        <v>230</v>
      </c>
      <c r="AB12" s="159"/>
      <c r="AC12" s="159"/>
      <c r="AD12" s="157" t="s">
        <v>121</v>
      </c>
      <c r="AE12" s="157"/>
      <c r="AF12" s="157"/>
      <c r="AG12" s="157" t="s">
        <v>122</v>
      </c>
      <c r="AH12" s="157"/>
      <c r="AI12" s="157"/>
      <c r="AJ12" s="156"/>
      <c r="AK12" s="141" t="s">
        <v>128</v>
      </c>
      <c r="AL12" s="157"/>
      <c r="AM12" s="164"/>
      <c r="AN12" s="63"/>
      <c r="AO12" s="161">
        <v>1200</v>
      </c>
      <c r="AP12" s="158">
        <v>500</v>
      </c>
      <c r="AQ12" s="215">
        <v>8000</v>
      </c>
      <c r="AR12" s="166"/>
      <c r="AS12" s="149"/>
    </row>
    <row r="13" spans="1:46" s="8" customFormat="1" ht="30" customHeight="1" thickBot="1">
      <c r="A13" s="7" t="s">
        <v>41</v>
      </c>
      <c r="B13" s="154" t="s">
        <v>42</v>
      </c>
      <c r="C13" s="154" t="s">
        <v>43</v>
      </c>
      <c r="D13" s="154" t="s">
        <v>46</v>
      </c>
      <c r="E13" s="154" t="s">
        <v>47</v>
      </c>
      <c r="F13" s="154" t="s">
        <v>113</v>
      </c>
      <c r="G13" s="155" t="s">
        <v>45</v>
      </c>
      <c r="H13" s="153" t="s">
        <v>103</v>
      </c>
      <c r="I13" s="152" t="s">
        <v>104</v>
      </c>
      <c r="J13" s="152" t="s">
        <v>123</v>
      </c>
      <c r="K13" s="152" t="s">
        <v>105</v>
      </c>
      <c r="L13" s="152" t="s">
        <v>106</v>
      </c>
      <c r="M13" s="152" t="s">
        <v>123</v>
      </c>
      <c r="N13" s="152" t="s">
        <v>107</v>
      </c>
      <c r="O13" s="152" t="s">
        <v>108</v>
      </c>
      <c r="P13" s="152" t="s">
        <v>123</v>
      </c>
      <c r="Q13" s="152" t="s">
        <v>109</v>
      </c>
      <c r="R13" s="152" t="s">
        <v>110</v>
      </c>
      <c r="S13" s="152" t="s">
        <v>123</v>
      </c>
      <c r="T13" s="152" t="s">
        <v>111</v>
      </c>
      <c r="U13" s="152" t="s">
        <v>112</v>
      </c>
      <c r="V13" s="152" t="s">
        <v>123</v>
      </c>
      <c r="W13" s="152" t="s">
        <v>39</v>
      </c>
      <c r="X13" s="152" t="s">
        <v>115</v>
      </c>
      <c r="Y13" s="152" t="s">
        <v>48</v>
      </c>
      <c r="Z13" s="152" t="s">
        <v>49</v>
      </c>
      <c r="AA13" s="152" t="s">
        <v>50</v>
      </c>
      <c r="AB13" s="167" t="s">
        <v>119</v>
      </c>
      <c r="AC13" s="168" t="s">
        <v>120</v>
      </c>
      <c r="AD13" s="153" t="s">
        <v>48</v>
      </c>
      <c r="AE13" s="152" t="s">
        <v>49</v>
      </c>
      <c r="AF13" s="152" t="s">
        <v>50</v>
      </c>
      <c r="AG13" s="152" t="s">
        <v>48</v>
      </c>
      <c r="AH13" s="152" t="s">
        <v>49</v>
      </c>
      <c r="AI13" s="167" t="s">
        <v>50</v>
      </c>
      <c r="AJ13" s="7" t="s">
        <v>48</v>
      </c>
      <c r="AK13" s="154" t="s">
        <v>49</v>
      </c>
      <c r="AL13" s="155" t="s">
        <v>50</v>
      </c>
      <c r="AM13" s="168" t="s">
        <v>52</v>
      </c>
      <c r="AN13" s="168" t="s">
        <v>53</v>
      </c>
      <c r="AO13" s="169" t="s">
        <v>126</v>
      </c>
      <c r="AP13" s="170" t="s">
        <v>127</v>
      </c>
      <c r="AQ13" s="171" t="s">
        <v>54</v>
      </c>
      <c r="AR13" s="168" t="s">
        <v>55</v>
      </c>
    </row>
    <row r="14" spans="1:46" s="8" customFormat="1" ht="3" customHeight="1" thickBot="1">
      <c r="A14" s="178"/>
      <c r="B14" s="179"/>
      <c r="C14" s="179"/>
      <c r="D14" s="179"/>
      <c r="E14" s="179"/>
      <c r="F14" s="179"/>
      <c r="G14" s="181"/>
      <c r="H14" s="179"/>
      <c r="I14" s="179"/>
      <c r="J14" s="179"/>
      <c r="K14" s="179"/>
      <c r="L14" s="179"/>
      <c r="M14" s="179"/>
      <c r="N14" s="179"/>
      <c r="O14" s="179"/>
      <c r="P14" s="179"/>
      <c r="Q14" s="179"/>
      <c r="R14" s="179"/>
      <c r="S14" s="179"/>
      <c r="T14" s="179"/>
      <c r="U14" s="179"/>
      <c r="V14" s="179"/>
      <c r="W14" s="179"/>
      <c r="X14" s="179"/>
      <c r="Y14" s="179"/>
      <c r="Z14" s="179"/>
      <c r="AA14" s="179"/>
      <c r="AB14" s="179"/>
      <c r="AC14" s="184"/>
      <c r="AD14" s="179"/>
      <c r="AE14" s="179"/>
      <c r="AF14" s="179"/>
      <c r="AG14" s="179"/>
      <c r="AH14" s="179"/>
      <c r="AI14" s="179"/>
      <c r="AJ14" s="185"/>
      <c r="AK14" s="180"/>
      <c r="AL14" s="181"/>
      <c r="AM14" s="184"/>
      <c r="AN14" s="184"/>
      <c r="AO14" s="180"/>
      <c r="AP14" s="186"/>
      <c r="AQ14" s="187"/>
      <c r="AR14" s="184"/>
    </row>
    <row r="15" spans="1:46" s="6" customFormat="1" ht="20.100000000000001" customHeight="1">
      <c r="A15" s="174">
        <v>1</v>
      </c>
      <c r="B15" s="175"/>
      <c r="C15" s="175"/>
      <c r="D15" s="175"/>
      <c r="E15" s="209"/>
      <c r="F15" s="175"/>
      <c r="G15" s="210"/>
      <c r="H15" s="182">
        <f>D15</f>
        <v>0</v>
      </c>
      <c r="I15" s="176">
        <f>E15</f>
        <v>0</v>
      </c>
      <c r="J15" s="177">
        <f>H15*I15*0.000001*2</f>
        <v>0</v>
      </c>
      <c r="K15" s="176">
        <f>C15-36</f>
        <v>-36</v>
      </c>
      <c r="L15" s="176">
        <f>E15</f>
        <v>0</v>
      </c>
      <c r="M15" s="177">
        <f>K15*L15*0.000001</f>
        <v>0</v>
      </c>
      <c r="N15" s="176">
        <f>K15</f>
        <v>-36</v>
      </c>
      <c r="O15" s="176">
        <v>100</v>
      </c>
      <c r="P15" s="177">
        <f>N15*O15*0.000001*2</f>
        <v>-7.1999999999999998E-3</v>
      </c>
      <c r="Q15" s="176">
        <f>H15-15</f>
        <v>-15</v>
      </c>
      <c r="R15" s="176">
        <f>K15+10</f>
        <v>-26</v>
      </c>
      <c r="S15" s="177">
        <f>Q15*R15*0.000001</f>
        <v>3.8999999999999999E-4</v>
      </c>
      <c r="T15" s="176">
        <f>K15-2</f>
        <v>-38</v>
      </c>
      <c r="U15" s="176">
        <f>L15-28</f>
        <v>-28</v>
      </c>
      <c r="V15" s="177">
        <f>IF(OR(G15="nyíló",G15="kétfelé nyíló"),T15*U15*0.000001*F15,0)</f>
        <v>0</v>
      </c>
      <c r="W15" s="177">
        <f>C15*D15*0.000001*B15</f>
        <v>0</v>
      </c>
      <c r="X15" s="177">
        <f>(J15+M15+P15+S15+V15)</f>
        <v>-6.8100000000000001E-3</v>
      </c>
      <c r="Y15" s="176">
        <f t="shared" ref="Y15:Y24" si="0">IF(G15=$G$4,1,IF(G15=$G$6,5,0))</f>
        <v>0</v>
      </c>
      <c r="Z15" s="176">
        <f t="shared" ref="Z15:Z24" si="1">IF(G15=$G$5,4,0)</f>
        <v>0</v>
      </c>
      <c r="AA15" s="176">
        <f t="shared" ref="AA15:AA24" si="2">IF(G15=$G$4,2,0)</f>
        <v>0</v>
      </c>
      <c r="AB15" s="139">
        <f>IF(ISBLANK(G15)=FALSE,(D15-36)-Y15*$Y$12-Z15*$Z$12-AA15*$AA$12,0)</f>
        <v>0</v>
      </c>
      <c r="AC15" s="188">
        <f>IF(E15&gt;577,$AF$1,IF(E15&gt;523,$AE$1,IF(E15&gt;473,$AD$1,IF(E15&gt;423,$AC$1,IF(E15&gt;373,$AB$1,IF(E15&gt;323,$AA$1,IF(E15&gt;293,$Z$1,0)))))))</f>
        <v>0</v>
      </c>
      <c r="AD15" s="189" t="e">
        <f t="shared" ref="AD15:AD24" si="3">HLOOKUP($AC15,$Y$1:$AF$4,2,FALSE)*Y15*B15</f>
        <v>#N/A</v>
      </c>
      <c r="AE15" s="190" t="e">
        <f t="shared" ref="AE15:AE24" si="4">HLOOKUP($AC15,$Y$1:$AF$4,3,FALSE)*Z15*B15</f>
        <v>#N/A</v>
      </c>
      <c r="AF15" s="190" t="e">
        <f t="shared" ref="AF15:AF24" si="5">HLOOKUP($AC15,$Y$1:$AF$4,4,FALSE)*AA15*B15</f>
        <v>#N/A</v>
      </c>
      <c r="AG15" s="190" t="e">
        <f>ROUNDUP(IF(AD15=0,0,((($C15-36-86)*($AC15-24)+($C15-36-97)*84)*0.000001*Y15*5150.8+271.82)),-3)*B15</f>
        <v>#N/A</v>
      </c>
      <c r="AH15" s="190" t="e">
        <f>ROUNDUP(IF(AE15=0,0,((($C15-36-86)*($AC15-24)+($C15-36-97)*135)*0.000001*Z15)*5150.8+271.82),-3)*B15</f>
        <v>#N/A</v>
      </c>
      <c r="AI15" s="191" t="e">
        <f>ROUNDUP(IF(AF15=0,0,((($C15-36-86)*($AC15-24)+($C15-36-97)*199)*0.000001*AA15)*5150.8+271.82),-3)*B15</f>
        <v>#N/A</v>
      </c>
      <c r="AJ15" s="192">
        <f>_xlfn.IFNA(AD15+AG15,0)</f>
        <v>0</v>
      </c>
      <c r="AK15" s="190">
        <f>_xlfn.IFNA(AE15+AH15,0)</f>
        <v>0</v>
      </c>
      <c r="AL15" s="193">
        <f>_xlfn.IFNA(AF15+AI15,0)</f>
        <v>0</v>
      </c>
      <c r="AM15" s="194">
        <f>ROUNDUP((5477*X15 + 15262)*1.15,-3)*B15</f>
        <v>0</v>
      </c>
      <c r="AN15" s="194">
        <f>_xlfn.IFNA(IF(SUM(AD15:AI15)&gt;0,SUM(AM15,AD15:AI15),0),0)</f>
        <v>0</v>
      </c>
      <c r="AO15" s="195">
        <f>IF(G15=$G$2,1,IF(G15=$G$3,2,IF(G15=$G$4,3,IF(G15=$G$5,4,IF(G15=$G$6,5,0)))))*$AO$12*B15</f>
        <v>0</v>
      </c>
      <c r="AP15" s="191">
        <f>IF(G15=$G$2,2,IF(G15=$G$3,4,0))*$AP$12*B15</f>
        <v>0</v>
      </c>
      <c r="AQ15" s="194">
        <f>ROUNDUP($AQ$12*C15*D15*B15*0.000001+AO15+AP15,-2)</f>
        <v>0</v>
      </c>
      <c r="AR15" s="194">
        <f>AJ15+AK15+AL15+AM15+AQ15</f>
        <v>0</v>
      </c>
      <c r="AS15" s="6" t="str">
        <f>IF(AND(C15&lt;400,G15=$G$3),"Kétfelé nyíló keskeny ajtók. Jó így?","")</f>
        <v/>
      </c>
      <c r="AT15" s="6" t="str">
        <f>IF(AB15&lt;0,"Nem férnek el a fiókok. Növelje a magasságot!","")</f>
        <v/>
      </c>
    </row>
    <row r="16" spans="1:46" s="6" customFormat="1" ht="20.100000000000001" customHeight="1">
      <c r="A16" s="110">
        <v>2</v>
      </c>
      <c r="B16" s="144"/>
      <c r="C16" s="144"/>
      <c r="D16" s="144"/>
      <c r="E16" s="211"/>
      <c r="F16" s="144"/>
      <c r="G16" s="212"/>
      <c r="H16" s="138">
        <f t="shared" ref="H16:H24" si="6">D16</f>
        <v>0</v>
      </c>
      <c r="I16" s="22">
        <f t="shared" ref="I16:I24" si="7">E16</f>
        <v>0</v>
      </c>
      <c r="J16" s="145">
        <f t="shared" ref="J16:J24" si="8">H16*I16*0.000001*2</f>
        <v>0</v>
      </c>
      <c r="K16" s="22">
        <f t="shared" ref="K16:K24" si="9">C16-36</f>
        <v>-36</v>
      </c>
      <c r="L16" s="22">
        <f t="shared" ref="L16:L24" si="10">E16</f>
        <v>0</v>
      </c>
      <c r="M16" s="145">
        <f t="shared" ref="M16:M24" si="11">K16*L16*0.000001</f>
        <v>0</v>
      </c>
      <c r="N16" s="22">
        <f t="shared" ref="N16:N24" si="12">K16</f>
        <v>-36</v>
      </c>
      <c r="O16" s="176">
        <v>100</v>
      </c>
      <c r="P16" s="145">
        <f>N16*O16*0.000001*2</f>
        <v>-7.1999999999999998E-3</v>
      </c>
      <c r="Q16" s="22">
        <f t="shared" ref="Q16:Q24" si="13">H16-15</f>
        <v>-15</v>
      </c>
      <c r="R16" s="22">
        <f t="shared" ref="R16:R24" si="14">K16+10</f>
        <v>-26</v>
      </c>
      <c r="S16" s="145">
        <f t="shared" ref="S16:S24" si="15">Q16*R16*0.000001</f>
        <v>3.8999999999999999E-4</v>
      </c>
      <c r="T16" s="22">
        <f t="shared" ref="T16:T24" si="16">K16-2</f>
        <v>-38</v>
      </c>
      <c r="U16" s="22">
        <f t="shared" ref="U16:U24" si="17">L16-28</f>
        <v>-28</v>
      </c>
      <c r="V16" s="145">
        <f t="shared" ref="V16:V24" si="18">IF(OR(G16="nyíló",G16="kétfelé nyíló"),T16*U16*0.000001*F16,0)</f>
        <v>0</v>
      </c>
      <c r="W16" s="145">
        <f t="shared" ref="W16:W24" si="19">C16*D16*0.000001*B16</f>
        <v>0</v>
      </c>
      <c r="X16" s="145">
        <f t="shared" ref="X16:X24" si="20">(J16+M16+P16+S16+V16)</f>
        <v>-6.8100000000000001E-3</v>
      </c>
      <c r="Y16" s="22">
        <f t="shared" si="0"/>
        <v>0</v>
      </c>
      <c r="Z16" s="22">
        <f t="shared" si="1"/>
        <v>0</v>
      </c>
      <c r="AA16" s="22">
        <f t="shared" si="2"/>
        <v>0</v>
      </c>
      <c r="AB16" s="23">
        <f t="shared" ref="AB16:AB24" si="21">IF(ISBLANK(G16)=FALSE,(D16-36)-Y16*$Y$12-Z16*$Z$12-AA16*$AA$12,0)</f>
        <v>0</v>
      </c>
      <c r="AC16" s="188">
        <f t="shared" ref="AC16:AC24" si="22">IF(E16&gt;577,$AF$1,IF(E16&gt;523,$AE$1,IF(E16&gt;473,$AD$1,IF(E16&gt;423,$AC$1,IF(E16&gt;373,$AB$1,IF(E16&gt;323,$AA$1,IF(E16&gt;293,$Z$1,0)))))))</f>
        <v>0</v>
      </c>
      <c r="AD16" s="196" t="e">
        <f t="shared" si="3"/>
        <v>#N/A</v>
      </c>
      <c r="AE16" s="146" t="e">
        <f t="shared" si="4"/>
        <v>#N/A</v>
      </c>
      <c r="AF16" s="146" t="e">
        <f t="shared" si="5"/>
        <v>#N/A</v>
      </c>
      <c r="AG16" s="146" t="e">
        <f t="shared" ref="AG16:AG24" si="23">ROUNDUP(IF(AD16=0,0,((($C16-36-86)*($AC16-24)+($C16-36-97)*84)*0.000001*Y16*5150.8+271.82)),-3)*B16</f>
        <v>#N/A</v>
      </c>
      <c r="AH16" s="146" t="e">
        <f t="shared" ref="AH16:AH24" si="24">ROUNDUP(IF(AE16=0,0,((($C16-36-86)*($AC16-24)+($C16-36-97)*135)*0.000001*Z16)*5150.8+271.82),-3)*B16</f>
        <v>#N/A</v>
      </c>
      <c r="AI16" s="197" t="e">
        <f t="shared" ref="AI16:AI24" si="25">ROUNDUP(IF(AF16=0,0,((($C16-36-86)*($AC16-24)+($C16-36-97)*199)*0.000001*AA16)*5150.8+271.82),-3)*B16</f>
        <v>#N/A</v>
      </c>
      <c r="AJ16" s="192">
        <f t="shared" ref="AJ16:AJ24" si="26">_xlfn.IFNA(AD16+AG16,0)</f>
        <v>0</v>
      </c>
      <c r="AK16" s="190">
        <f t="shared" ref="AK16:AK24" si="27">_xlfn.IFNA(AE16+AH16,0)</f>
        <v>0</v>
      </c>
      <c r="AL16" s="193">
        <f t="shared" ref="AL16:AL24" si="28">_xlfn.IFNA(AF16+AI16,0)</f>
        <v>0</v>
      </c>
      <c r="AM16" s="198">
        <f t="shared" ref="AM16:AM24" si="29">ROUNDUP((5477*X16 + 15262)*1.15,-3)*B16</f>
        <v>0</v>
      </c>
      <c r="AN16" s="194">
        <f t="shared" ref="AN16:AN24" si="30">_xlfn.IFNA(IF(SUM(AD16:AI16)&gt;0,SUM(AM16,AD16:AI16),0),0)</f>
        <v>0</v>
      </c>
      <c r="AO16" s="24">
        <f t="shared" ref="AO16:AO24" si="31">IF(G16=$G$2,1,IF(G16=$G$3,2,IF(G16=$G$4,3,IF(G16=$G$5,4,IF(G16=$G$6,5,0)))))*$AO$12*B16</f>
        <v>0</v>
      </c>
      <c r="AP16" s="191">
        <f t="shared" ref="AP16:AP23" si="32">IF(G16=$G$2,2,IF(G16=$G$3,4,0))*$AP$12*B16</f>
        <v>0</v>
      </c>
      <c r="AQ16" s="198">
        <f t="shared" ref="AQ16:AQ24" si="33">ROUNDUP($AQ$12*C16*D16*B16*0.000001+AO16+AP16,-2)</f>
        <v>0</v>
      </c>
      <c r="AR16" s="198">
        <f t="shared" ref="AR16:AR24" si="34">_xlfn.IFNA(AG16+AH16+AI16+AM16+AQ16,0)</f>
        <v>0</v>
      </c>
      <c r="AS16" s="147" t="str">
        <f t="shared" ref="AS16:AS24" si="35">IF(AB16&lt;0,"Nem férnek el a fiókok. Növelje a magasságot!","")</f>
        <v/>
      </c>
    </row>
    <row r="17" spans="1:45" s="6" customFormat="1" ht="20.100000000000001" customHeight="1">
      <c r="A17" s="110">
        <v>3</v>
      </c>
      <c r="B17" s="144"/>
      <c r="C17" s="144"/>
      <c r="D17" s="144"/>
      <c r="E17" s="211"/>
      <c r="F17" s="144"/>
      <c r="G17" s="212"/>
      <c r="H17" s="138">
        <f t="shared" si="6"/>
        <v>0</v>
      </c>
      <c r="I17" s="22">
        <f t="shared" si="7"/>
        <v>0</v>
      </c>
      <c r="J17" s="145">
        <f t="shared" si="8"/>
        <v>0</v>
      </c>
      <c r="K17" s="22">
        <f t="shared" si="9"/>
        <v>-36</v>
      </c>
      <c r="L17" s="22">
        <f t="shared" si="10"/>
        <v>0</v>
      </c>
      <c r="M17" s="145">
        <f t="shared" si="11"/>
        <v>0</v>
      </c>
      <c r="N17" s="22">
        <f t="shared" si="12"/>
        <v>-36</v>
      </c>
      <c r="O17" s="176">
        <v>100</v>
      </c>
      <c r="P17" s="145">
        <f t="shared" ref="P17:P24" si="36">N17*O17*0.000001*2</f>
        <v>-7.1999999999999998E-3</v>
      </c>
      <c r="Q17" s="22">
        <f t="shared" si="13"/>
        <v>-15</v>
      </c>
      <c r="R17" s="22">
        <f t="shared" si="14"/>
        <v>-26</v>
      </c>
      <c r="S17" s="145">
        <f t="shared" si="15"/>
        <v>3.8999999999999999E-4</v>
      </c>
      <c r="T17" s="22">
        <f t="shared" si="16"/>
        <v>-38</v>
      </c>
      <c r="U17" s="22">
        <f t="shared" si="17"/>
        <v>-28</v>
      </c>
      <c r="V17" s="145">
        <f t="shared" si="18"/>
        <v>0</v>
      </c>
      <c r="W17" s="145">
        <f t="shared" si="19"/>
        <v>0</v>
      </c>
      <c r="X17" s="145">
        <f t="shared" si="20"/>
        <v>-6.8100000000000001E-3</v>
      </c>
      <c r="Y17" s="22">
        <f t="shared" si="0"/>
        <v>0</v>
      </c>
      <c r="Z17" s="22">
        <f t="shared" si="1"/>
        <v>0</v>
      </c>
      <c r="AA17" s="22">
        <f t="shared" si="2"/>
        <v>0</v>
      </c>
      <c r="AB17" s="23">
        <f t="shared" si="21"/>
        <v>0</v>
      </c>
      <c r="AC17" s="188">
        <f t="shared" si="22"/>
        <v>0</v>
      </c>
      <c r="AD17" s="196" t="e">
        <f t="shared" si="3"/>
        <v>#N/A</v>
      </c>
      <c r="AE17" s="146" t="e">
        <f t="shared" si="4"/>
        <v>#N/A</v>
      </c>
      <c r="AF17" s="146" t="e">
        <f t="shared" si="5"/>
        <v>#N/A</v>
      </c>
      <c r="AG17" s="146" t="e">
        <f t="shared" si="23"/>
        <v>#N/A</v>
      </c>
      <c r="AH17" s="146" t="e">
        <f t="shared" si="24"/>
        <v>#N/A</v>
      </c>
      <c r="AI17" s="197" t="e">
        <f t="shared" si="25"/>
        <v>#N/A</v>
      </c>
      <c r="AJ17" s="192">
        <f t="shared" si="26"/>
        <v>0</v>
      </c>
      <c r="AK17" s="190">
        <f t="shared" si="27"/>
        <v>0</v>
      </c>
      <c r="AL17" s="193">
        <f t="shared" si="28"/>
        <v>0</v>
      </c>
      <c r="AM17" s="198">
        <f t="shared" si="29"/>
        <v>0</v>
      </c>
      <c r="AN17" s="194">
        <f t="shared" si="30"/>
        <v>0</v>
      </c>
      <c r="AO17" s="24">
        <f t="shared" si="31"/>
        <v>0</v>
      </c>
      <c r="AP17" s="191">
        <f t="shared" si="32"/>
        <v>0</v>
      </c>
      <c r="AQ17" s="198">
        <f t="shared" si="33"/>
        <v>0</v>
      </c>
      <c r="AR17" s="198">
        <f t="shared" si="34"/>
        <v>0</v>
      </c>
      <c r="AS17" s="147" t="str">
        <f t="shared" si="35"/>
        <v/>
      </c>
    </row>
    <row r="18" spans="1:45" s="6" customFormat="1" ht="20.100000000000001" customHeight="1">
      <c r="A18" s="110">
        <v>4</v>
      </c>
      <c r="B18" s="144"/>
      <c r="C18" s="144"/>
      <c r="D18" s="144"/>
      <c r="E18" s="211"/>
      <c r="F18" s="144"/>
      <c r="G18" s="212"/>
      <c r="H18" s="138">
        <f t="shared" si="6"/>
        <v>0</v>
      </c>
      <c r="I18" s="22">
        <f t="shared" si="7"/>
        <v>0</v>
      </c>
      <c r="J18" s="145">
        <f t="shared" si="8"/>
        <v>0</v>
      </c>
      <c r="K18" s="22">
        <f t="shared" si="9"/>
        <v>-36</v>
      </c>
      <c r="L18" s="22">
        <f t="shared" si="10"/>
        <v>0</v>
      </c>
      <c r="M18" s="145">
        <f t="shared" si="11"/>
        <v>0</v>
      </c>
      <c r="N18" s="22">
        <f t="shared" si="12"/>
        <v>-36</v>
      </c>
      <c r="O18" s="176">
        <v>100</v>
      </c>
      <c r="P18" s="145">
        <f t="shared" si="36"/>
        <v>-7.1999999999999998E-3</v>
      </c>
      <c r="Q18" s="22">
        <f t="shared" si="13"/>
        <v>-15</v>
      </c>
      <c r="R18" s="22">
        <f t="shared" si="14"/>
        <v>-26</v>
      </c>
      <c r="S18" s="145">
        <f t="shared" si="15"/>
        <v>3.8999999999999999E-4</v>
      </c>
      <c r="T18" s="22">
        <f t="shared" si="16"/>
        <v>-38</v>
      </c>
      <c r="U18" s="22">
        <f t="shared" si="17"/>
        <v>-28</v>
      </c>
      <c r="V18" s="145">
        <f t="shared" si="18"/>
        <v>0</v>
      </c>
      <c r="W18" s="145">
        <f t="shared" si="19"/>
        <v>0</v>
      </c>
      <c r="X18" s="145">
        <f t="shared" si="20"/>
        <v>-6.8100000000000001E-3</v>
      </c>
      <c r="Y18" s="22">
        <f t="shared" si="0"/>
        <v>0</v>
      </c>
      <c r="Z18" s="22">
        <f t="shared" si="1"/>
        <v>0</v>
      </c>
      <c r="AA18" s="22">
        <f t="shared" si="2"/>
        <v>0</v>
      </c>
      <c r="AB18" s="23">
        <f t="shared" si="21"/>
        <v>0</v>
      </c>
      <c r="AC18" s="188">
        <f t="shared" si="22"/>
        <v>0</v>
      </c>
      <c r="AD18" s="196" t="e">
        <f t="shared" si="3"/>
        <v>#N/A</v>
      </c>
      <c r="AE18" s="146" t="e">
        <f t="shared" si="4"/>
        <v>#N/A</v>
      </c>
      <c r="AF18" s="146" t="e">
        <f t="shared" si="5"/>
        <v>#N/A</v>
      </c>
      <c r="AG18" s="146" t="e">
        <f t="shared" si="23"/>
        <v>#N/A</v>
      </c>
      <c r="AH18" s="146" t="e">
        <f t="shared" si="24"/>
        <v>#N/A</v>
      </c>
      <c r="AI18" s="197" t="e">
        <f t="shared" si="25"/>
        <v>#N/A</v>
      </c>
      <c r="AJ18" s="192">
        <f t="shared" si="26"/>
        <v>0</v>
      </c>
      <c r="AK18" s="190">
        <f t="shared" si="27"/>
        <v>0</v>
      </c>
      <c r="AL18" s="193">
        <f t="shared" si="28"/>
        <v>0</v>
      </c>
      <c r="AM18" s="198">
        <f t="shared" si="29"/>
        <v>0</v>
      </c>
      <c r="AN18" s="194">
        <f t="shared" si="30"/>
        <v>0</v>
      </c>
      <c r="AO18" s="24">
        <f t="shared" si="31"/>
        <v>0</v>
      </c>
      <c r="AP18" s="191">
        <f t="shared" si="32"/>
        <v>0</v>
      </c>
      <c r="AQ18" s="198">
        <f t="shared" si="33"/>
        <v>0</v>
      </c>
      <c r="AR18" s="198">
        <f t="shared" si="34"/>
        <v>0</v>
      </c>
      <c r="AS18" s="147" t="str">
        <f t="shared" si="35"/>
        <v/>
      </c>
    </row>
    <row r="19" spans="1:45" s="6" customFormat="1" ht="20.100000000000001" customHeight="1">
      <c r="A19" s="110">
        <v>5</v>
      </c>
      <c r="B19" s="144"/>
      <c r="C19" s="144"/>
      <c r="D19" s="144"/>
      <c r="E19" s="211"/>
      <c r="F19" s="144"/>
      <c r="G19" s="212"/>
      <c r="H19" s="138">
        <f t="shared" si="6"/>
        <v>0</v>
      </c>
      <c r="I19" s="22">
        <f t="shared" si="7"/>
        <v>0</v>
      </c>
      <c r="J19" s="145">
        <f t="shared" si="8"/>
        <v>0</v>
      </c>
      <c r="K19" s="22">
        <f t="shared" si="9"/>
        <v>-36</v>
      </c>
      <c r="L19" s="22">
        <f t="shared" si="10"/>
        <v>0</v>
      </c>
      <c r="M19" s="145">
        <f t="shared" si="11"/>
        <v>0</v>
      </c>
      <c r="N19" s="22">
        <f t="shared" si="12"/>
        <v>-36</v>
      </c>
      <c r="O19" s="176">
        <v>100</v>
      </c>
      <c r="P19" s="145">
        <f t="shared" si="36"/>
        <v>-7.1999999999999998E-3</v>
      </c>
      <c r="Q19" s="22">
        <f t="shared" si="13"/>
        <v>-15</v>
      </c>
      <c r="R19" s="22">
        <f t="shared" si="14"/>
        <v>-26</v>
      </c>
      <c r="S19" s="145">
        <f t="shared" si="15"/>
        <v>3.8999999999999999E-4</v>
      </c>
      <c r="T19" s="22">
        <f t="shared" si="16"/>
        <v>-38</v>
      </c>
      <c r="U19" s="22">
        <f t="shared" si="17"/>
        <v>-28</v>
      </c>
      <c r="V19" s="145">
        <f t="shared" si="18"/>
        <v>0</v>
      </c>
      <c r="W19" s="145">
        <f t="shared" si="19"/>
        <v>0</v>
      </c>
      <c r="X19" s="145">
        <f t="shared" si="20"/>
        <v>-6.8100000000000001E-3</v>
      </c>
      <c r="Y19" s="22">
        <f t="shared" si="0"/>
        <v>0</v>
      </c>
      <c r="Z19" s="22">
        <f t="shared" si="1"/>
        <v>0</v>
      </c>
      <c r="AA19" s="22">
        <f t="shared" si="2"/>
        <v>0</v>
      </c>
      <c r="AB19" s="23">
        <f t="shared" si="21"/>
        <v>0</v>
      </c>
      <c r="AC19" s="188">
        <f t="shared" si="22"/>
        <v>0</v>
      </c>
      <c r="AD19" s="196" t="e">
        <f t="shared" si="3"/>
        <v>#N/A</v>
      </c>
      <c r="AE19" s="146" t="e">
        <f t="shared" si="4"/>
        <v>#N/A</v>
      </c>
      <c r="AF19" s="146" t="e">
        <f t="shared" si="5"/>
        <v>#N/A</v>
      </c>
      <c r="AG19" s="146" t="e">
        <f t="shared" si="23"/>
        <v>#N/A</v>
      </c>
      <c r="AH19" s="146" t="e">
        <f t="shared" si="24"/>
        <v>#N/A</v>
      </c>
      <c r="AI19" s="197" t="e">
        <f t="shared" si="25"/>
        <v>#N/A</v>
      </c>
      <c r="AJ19" s="192">
        <f t="shared" si="26"/>
        <v>0</v>
      </c>
      <c r="AK19" s="190">
        <f t="shared" si="27"/>
        <v>0</v>
      </c>
      <c r="AL19" s="193">
        <f t="shared" si="28"/>
        <v>0</v>
      </c>
      <c r="AM19" s="198">
        <f t="shared" si="29"/>
        <v>0</v>
      </c>
      <c r="AN19" s="194">
        <f t="shared" si="30"/>
        <v>0</v>
      </c>
      <c r="AO19" s="24">
        <f t="shared" si="31"/>
        <v>0</v>
      </c>
      <c r="AP19" s="191">
        <f t="shared" si="32"/>
        <v>0</v>
      </c>
      <c r="AQ19" s="198">
        <f t="shared" si="33"/>
        <v>0</v>
      </c>
      <c r="AR19" s="198">
        <f t="shared" si="34"/>
        <v>0</v>
      </c>
      <c r="AS19" s="147" t="str">
        <f t="shared" si="35"/>
        <v/>
      </c>
    </row>
    <row r="20" spans="1:45" s="6" customFormat="1" ht="20.100000000000001" customHeight="1">
      <c r="A20" s="110">
        <v>6</v>
      </c>
      <c r="B20" s="144"/>
      <c r="C20" s="144"/>
      <c r="D20" s="144"/>
      <c r="E20" s="211"/>
      <c r="F20" s="144"/>
      <c r="G20" s="212"/>
      <c r="H20" s="138">
        <f t="shared" si="6"/>
        <v>0</v>
      </c>
      <c r="I20" s="22">
        <f t="shared" si="7"/>
        <v>0</v>
      </c>
      <c r="J20" s="145">
        <f t="shared" si="8"/>
        <v>0</v>
      </c>
      <c r="K20" s="22">
        <f t="shared" si="9"/>
        <v>-36</v>
      </c>
      <c r="L20" s="22">
        <f t="shared" si="10"/>
        <v>0</v>
      </c>
      <c r="M20" s="145">
        <f t="shared" si="11"/>
        <v>0</v>
      </c>
      <c r="N20" s="22">
        <f t="shared" si="12"/>
        <v>-36</v>
      </c>
      <c r="O20" s="176">
        <v>100</v>
      </c>
      <c r="P20" s="145">
        <f t="shared" si="36"/>
        <v>-7.1999999999999998E-3</v>
      </c>
      <c r="Q20" s="22">
        <f t="shared" si="13"/>
        <v>-15</v>
      </c>
      <c r="R20" s="22">
        <f t="shared" si="14"/>
        <v>-26</v>
      </c>
      <c r="S20" s="145">
        <f t="shared" si="15"/>
        <v>3.8999999999999999E-4</v>
      </c>
      <c r="T20" s="22">
        <f t="shared" si="16"/>
        <v>-38</v>
      </c>
      <c r="U20" s="22">
        <f t="shared" si="17"/>
        <v>-28</v>
      </c>
      <c r="V20" s="145">
        <f t="shared" si="18"/>
        <v>0</v>
      </c>
      <c r="W20" s="145">
        <f t="shared" si="19"/>
        <v>0</v>
      </c>
      <c r="X20" s="145">
        <f t="shared" si="20"/>
        <v>-6.8100000000000001E-3</v>
      </c>
      <c r="Y20" s="22">
        <f t="shared" si="0"/>
        <v>0</v>
      </c>
      <c r="Z20" s="22">
        <f t="shared" si="1"/>
        <v>0</v>
      </c>
      <c r="AA20" s="22">
        <f t="shared" si="2"/>
        <v>0</v>
      </c>
      <c r="AB20" s="23">
        <f t="shared" si="21"/>
        <v>0</v>
      </c>
      <c r="AC20" s="188">
        <f t="shared" si="22"/>
        <v>0</v>
      </c>
      <c r="AD20" s="196" t="e">
        <f t="shared" si="3"/>
        <v>#N/A</v>
      </c>
      <c r="AE20" s="146" t="e">
        <f t="shared" si="4"/>
        <v>#N/A</v>
      </c>
      <c r="AF20" s="146" t="e">
        <f t="shared" si="5"/>
        <v>#N/A</v>
      </c>
      <c r="AG20" s="146" t="e">
        <f t="shared" si="23"/>
        <v>#N/A</v>
      </c>
      <c r="AH20" s="146" t="e">
        <f t="shared" si="24"/>
        <v>#N/A</v>
      </c>
      <c r="AI20" s="197" t="e">
        <f t="shared" si="25"/>
        <v>#N/A</v>
      </c>
      <c r="AJ20" s="192">
        <f t="shared" si="26"/>
        <v>0</v>
      </c>
      <c r="AK20" s="190">
        <f t="shared" si="27"/>
        <v>0</v>
      </c>
      <c r="AL20" s="193">
        <f t="shared" si="28"/>
        <v>0</v>
      </c>
      <c r="AM20" s="198">
        <f t="shared" si="29"/>
        <v>0</v>
      </c>
      <c r="AN20" s="194">
        <f t="shared" si="30"/>
        <v>0</v>
      </c>
      <c r="AO20" s="24">
        <f t="shared" si="31"/>
        <v>0</v>
      </c>
      <c r="AP20" s="191">
        <f t="shared" si="32"/>
        <v>0</v>
      </c>
      <c r="AQ20" s="198">
        <f t="shared" si="33"/>
        <v>0</v>
      </c>
      <c r="AR20" s="198">
        <f t="shared" si="34"/>
        <v>0</v>
      </c>
      <c r="AS20" s="147" t="str">
        <f t="shared" si="35"/>
        <v/>
      </c>
    </row>
    <row r="21" spans="1:45" s="6" customFormat="1" ht="20.100000000000001" customHeight="1">
      <c r="A21" s="110">
        <v>7</v>
      </c>
      <c r="B21" s="144"/>
      <c r="C21" s="144"/>
      <c r="D21" s="144"/>
      <c r="E21" s="211"/>
      <c r="F21" s="144"/>
      <c r="G21" s="212"/>
      <c r="H21" s="138">
        <f t="shared" si="6"/>
        <v>0</v>
      </c>
      <c r="I21" s="22">
        <f t="shared" si="7"/>
        <v>0</v>
      </c>
      <c r="J21" s="145">
        <f t="shared" si="8"/>
        <v>0</v>
      </c>
      <c r="K21" s="22">
        <f t="shared" si="9"/>
        <v>-36</v>
      </c>
      <c r="L21" s="22">
        <f t="shared" si="10"/>
        <v>0</v>
      </c>
      <c r="M21" s="145">
        <f t="shared" si="11"/>
        <v>0</v>
      </c>
      <c r="N21" s="22">
        <f t="shared" si="12"/>
        <v>-36</v>
      </c>
      <c r="O21" s="176">
        <v>100</v>
      </c>
      <c r="P21" s="145">
        <f t="shared" si="36"/>
        <v>-7.1999999999999998E-3</v>
      </c>
      <c r="Q21" s="22">
        <f t="shared" si="13"/>
        <v>-15</v>
      </c>
      <c r="R21" s="22">
        <f t="shared" si="14"/>
        <v>-26</v>
      </c>
      <c r="S21" s="145">
        <f t="shared" si="15"/>
        <v>3.8999999999999999E-4</v>
      </c>
      <c r="T21" s="22">
        <f t="shared" si="16"/>
        <v>-38</v>
      </c>
      <c r="U21" s="22">
        <f t="shared" si="17"/>
        <v>-28</v>
      </c>
      <c r="V21" s="145">
        <f t="shared" si="18"/>
        <v>0</v>
      </c>
      <c r="W21" s="145">
        <f t="shared" si="19"/>
        <v>0</v>
      </c>
      <c r="X21" s="145">
        <f t="shared" si="20"/>
        <v>-6.8100000000000001E-3</v>
      </c>
      <c r="Y21" s="22">
        <f t="shared" si="0"/>
        <v>0</v>
      </c>
      <c r="Z21" s="22">
        <f t="shared" si="1"/>
        <v>0</v>
      </c>
      <c r="AA21" s="22">
        <f t="shared" si="2"/>
        <v>0</v>
      </c>
      <c r="AB21" s="23">
        <f t="shared" si="21"/>
        <v>0</v>
      </c>
      <c r="AC21" s="188">
        <f t="shared" si="22"/>
        <v>0</v>
      </c>
      <c r="AD21" s="196" t="e">
        <f t="shared" si="3"/>
        <v>#N/A</v>
      </c>
      <c r="AE21" s="146" t="e">
        <f t="shared" si="4"/>
        <v>#N/A</v>
      </c>
      <c r="AF21" s="146" t="e">
        <f t="shared" si="5"/>
        <v>#N/A</v>
      </c>
      <c r="AG21" s="146" t="e">
        <f t="shared" si="23"/>
        <v>#N/A</v>
      </c>
      <c r="AH21" s="146" t="e">
        <f t="shared" si="24"/>
        <v>#N/A</v>
      </c>
      <c r="AI21" s="197" t="e">
        <f t="shared" si="25"/>
        <v>#N/A</v>
      </c>
      <c r="AJ21" s="192">
        <f t="shared" si="26"/>
        <v>0</v>
      </c>
      <c r="AK21" s="190">
        <f t="shared" si="27"/>
        <v>0</v>
      </c>
      <c r="AL21" s="193">
        <f t="shared" si="28"/>
        <v>0</v>
      </c>
      <c r="AM21" s="198">
        <f t="shared" si="29"/>
        <v>0</v>
      </c>
      <c r="AN21" s="194">
        <f t="shared" si="30"/>
        <v>0</v>
      </c>
      <c r="AO21" s="24">
        <f t="shared" si="31"/>
        <v>0</v>
      </c>
      <c r="AP21" s="191">
        <f t="shared" si="32"/>
        <v>0</v>
      </c>
      <c r="AQ21" s="198">
        <f t="shared" si="33"/>
        <v>0</v>
      </c>
      <c r="AR21" s="198">
        <f t="shared" si="34"/>
        <v>0</v>
      </c>
      <c r="AS21" s="147" t="str">
        <f t="shared" si="35"/>
        <v/>
      </c>
    </row>
    <row r="22" spans="1:45" s="6" customFormat="1" ht="20.100000000000001" customHeight="1">
      <c r="A22" s="110">
        <v>8</v>
      </c>
      <c r="B22" s="144"/>
      <c r="C22" s="144"/>
      <c r="D22" s="144"/>
      <c r="E22" s="211"/>
      <c r="F22" s="144"/>
      <c r="G22" s="212"/>
      <c r="H22" s="138">
        <f t="shared" si="6"/>
        <v>0</v>
      </c>
      <c r="I22" s="22">
        <f t="shared" si="7"/>
        <v>0</v>
      </c>
      <c r="J22" s="145">
        <f t="shared" si="8"/>
        <v>0</v>
      </c>
      <c r="K22" s="22">
        <f t="shared" si="9"/>
        <v>-36</v>
      </c>
      <c r="L22" s="22">
        <f t="shared" si="10"/>
        <v>0</v>
      </c>
      <c r="M22" s="145">
        <f t="shared" si="11"/>
        <v>0</v>
      </c>
      <c r="N22" s="22">
        <f t="shared" si="12"/>
        <v>-36</v>
      </c>
      <c r="O22" s="176">
        <v>100</v>
      </c>
      <c r="P22" s="145">
        <f t="shared" si="36"/>
        <v>-7.1999999999999998E-3</v>
      </c>
      <c r="Q22" s="22">
        <f t="shared" si="13"/>
        <v>-15</v>
      </c>
      <c r="R22" s="22">
        <f t="shared" si="14"/>
        <v>-26</v>
      </c>
      <c r="S22" s="145">
        <f t="shared" si="15"/>
        <v>3.8999999999999999E-4</v>
      </c>
      <c r="T22" s="22">
        <f t="shared" si="16"/>
        <v>-38</v>
      </c>
      <c r="U22" s="22">
        <f t="shared" si="17"/>
        <v>-28</v>
      </c>
      <c r="V22" s="145">
        <f t="shared" si="18"/>
        <v>0</v>
      </c>
      <c r="W22" s="145">
        <f t="shared" si="19"/>
        <v>0</v>
      </c>
      <c r="X22" s="145">
        <f t="shared" si="20"/>
        <v>-6.8100000000000001E-3</v>
      </c>
      <c r="Y22" s="22">
        <f t="shared" si="0"/>
        <v>0</v>
      </c>
      <c r="Z22" s="22">
        <f t="shared" si="1"/>
        <v>0</v>
      </c>
      <c r="AA22" s="22">
        <f t="shared" si="2"/>
        <v>0</v>
      </c>
      <c r="AB22" s="23">
        <f t="shared" si="21"/>
        <v>0</v>
      </c>
      <c r="AC22" s="188">
        <f t="shared" si="22"/>
        <v>0</v>
      </c>
      <c r="AD22" s="196" t="e">
        <f t="shared" si="3"/>
        <v>#N/A</v>
      </c>
      <c r="AE22" s="146" t="e">
        <f t="shared" si="4"/>
        <v>#N/A</v>
      </c>
      <c r="AF22" s="146" t="e">
        <f t="shared" si="5"/>
        <v>#N/A</v>
      </c>
      <c r="AG22" s="146" t="e">
        <f t="shared" si="23"/>
        <v>#N/A</v>
      </c>
      <c r="AH22" s="146" t="e">
        <f t="shared" si="24"/>
        <v>#N/A</v>
      </c>
      <c r="AI22" s="197" t="e">
        <f t="shared" si="25"/>
        <v>#N/A</v>
      </c>
      <c r="AJ22" s="192">
        <f t="shared" si="26"/>
        <v>0</v>
      </c>
      <c r="AK22" s="190">
        <f t="shared" si="27"/>
        <v>0</v>
      </c>
      <c r="AL22" s="193">
        <f t="shared" si="28"/>
        <v>0</v>
      </c>
      <c r="AM22" s="198">
        <f t="shared" si="29"/>
        <v>0</v>
      </c>
      <c r="AN22" s="194">
        <f t="shared" si="30"/>
        <v>0</v>
      </c>
      <c r="AO22" s="24">
        <f>IF(G22=$G$2,1,IF(G22=$G$3,2,IF(G22=$G$4,3,IF(G22=$G$5,4,IF(G22=$G$6,5,0)))))*$AO$12*B22</f>
        <v>0</v>
      </c>
      <c r="AP22" s="191">
        <f t="shared" si="32"/>
        <v>0</v>
      </c>
      <c r="AQ22" s="198">
        <f t="shared" si="33"/>
        <v>0</v>
      </c>
      <c r="AR22" s="198">
        <f t="shared" si="34"/>
        <v>0</v>
      </c>
      <c r="AS22" s="147" t="str">
        <f t="shared" si="35"/>
        <v/>
      </c>
    </row>
    <row r="23" spans="1:45" s="6" customFormat="1" ht="20.100000000000001" customHeight="1">
      <c r="A23" s="110">
        <v>9</v>
      </c>
      <c r="B23" s="144"/>
      <c r="C23" s="144"/>
      <c r="D23" s="144"/>
      <c r="E23" s="211"/>
      <c r="F23" s="144"/>
      <c r="G23" s="212"/>
      <c r="H23" s="138">
        <f t="shared" si="6"/>
        <v>0</v>
      </c>
      <c r="I23" s="22">
        <f t="shared" si="7"/>
        <v>0</v>
      </c>
      <c r="J23" s="145">
        <f t="shared" si="8"/>
        <v>0</v>
      </c>
      <c r="K23" s="22">
        <f t="shared" si="9"/>
        <v>-36</v>
      </c>
      <c r="L23" s="22">
        <f t="shared" si="10"/>
        <v>0</v>
      </c>
      <c r="M23" s="145">
        <f t="shared" si="11"/>
        <v>0</v>
      </c>
      <c r="N23" s="22">
        <f t="shared" si="12"/>
        <v>-36</v>
      </c>
      <c r="O23" s="176">
        <v>100</v>
      </c>
      <c r="P23" s="145">
        <f t="shared" si="36"/>
        <v>-7.1999999999999998E-3</v>
      </c>
      <c r="Q23" s="22">
        <f t="shared" si="13"/>
        <v>-15</v>
      </c>
      <c r="R23" s="22">
        <f t="shared" si="14"/>
        <v>-26</v>
      </c>
      <c r="S23" s="145">
        <f t="shared" si="15"/>
        <v>3.8999999999999999E-4</v>
      </c>
      <c r="T23" s="22">
        <f t="shared" si="16"/>
        <v>-38</v>
      </c>
      <c r="U23" s="22">
        <f t="shared" si="17"/>
        <v>-28</v>
      </c>
      <c r="V23" s="145">
        <f t="shared" si="18"/>
        <v>0</v>
      </c>
      <c r="W23" s="145">
        <f t="shared" si="19"/>
        <v>0</v>
      </c>
      <c r="X23" s="145">
        <f t="shared" si="20"/>
        <v>-6.8100000000000001E-3</v>
      </c>
      <c r="Y23" s="22">
        <f t="shared" si="0"/>
        <v>0</v>
      </c>
      <c r="Z23" s="22">
        <f t="shared" si="1"/>
        <v>0</v>
      </c>
      <c r="AA23" s="22">
        <f t="shared" si="2"/>
        <v>0</v>
      </c>
      <c r="AB23" s="23">
        <f t="shared" si="21"/>
        <v>0</v>
      </c>
      <c r="AC23" s="188">
        <f t="shared" si="22"/>
        <v>0</v>
      </c>
      <c r="AD23" s="196" t="e">
        <f t="shared" si="3"/>
        <v>#N/A</v>
      </c>
      <c r="AE23" s="146" t="e">
        <f t="shared" si="4"/>
        <v>#N/A</v>
      </c>
      <c r="AF23" s="146" t="e">
        <f t="shared" si="5"/>
        <v>#N/A</v>
      </c>
      <c r="AG23" s="146" t="e">
        <f t="shared" si="23"/>
        <v>#N/A</v>
      </c>
      <c r="AH23" s="146" t="e">
        <f t="shared" si="24"/>
        <v>#N/A</v>
      </c>
      <c r="AI23" s="197" t="e">
        <f t="shared" si="25"/>
        <v>#N/A</v>
      </c>
      <c r="AJ23" s="192">
        <f t="shared" si="26"/>
        <v>0</v>
      </c>
      <c r="AK23" s="190">
        <f t="shared" si="27"/>
        <v>0</v>
      </c>
      <c r="AL23" s="193">
        <f t="shared" si="28"/>
        <v>0</v>
      </c>
      <c r="AM23" s="198">
        <f t="shared" si="29"/>
        <v>0</v>
      </c>
      <c r="AN23" s="194">
        <f t="shared" si="30"/>
        <v>0</v>
      </c>
      <c r="AO23" s="24">
        <f t="shared" si="31"/>
        <v>0</v>
      </c>
      <c r="AP23" s="191">
        <f t="shared" si="32"/>
        <v>0</v>
      </c>
      <c r="AQ23" s="198">
        <f t="shared" si="33"/>
        <v>0</v>
      </c>
      <c r="AR23" s="198">
        <f t="shared" si="34"/>
        <v>0</v>
      </c>
      <c r="AS23" s="147" t="str">
        <f t="shared" si="35"/>
        <v/>
      </c>
    </row>
    <row r="24" spans="1:45" s="6" customFormat="1" ht="20.100000000000001" customHeight="1" thickBot="1">
      <c r="A24" s="111">
        <v>10</v>
      </c>
      <c r="B24" s="183"/>
      <c r="C24" s="183"/>
      <c r="D24" s="183"/>
      <c r="E24" s="213"/>
      <c r="F24" s="183"/>
      <c r="G24" s="214"/>
      <c r="H24" s="138">
        <f t="shared" si="6"/>
        <v>0</v>
      </c>
      <c r="I24" s="22">
        <f t="shared" si="7"/>
        <v>0</v>
      </c>
      <c r="J24" s="145">
        <f t="shared" si="8"/>
        <v>0</v>
      </c>
      <c r="K24" s="22">
        <f t="shared" si="9"/>
        <v>-36</v>
      </c>
      <c r="L24" s="22">
        <f t="shared" si="10"/>
        <v>0</v>
      </c>
      <c r="M24" s="145">
        <f t="shared" si="11"/>
        <v>0</v>
      </c>
      <c r="N24" s="22">
        <f t="shared" si="12"/>
        <v>-36</v>
      </c>
      <c r="O24" s="176">
        <v>100</v>
      </c>
      <c r="P24" s="145">
        <f t="shared" si="36"/>
        <v>-7.1999999999999998E-3</v>
      </c>
      <c r="Q24" s="22">
        <f t="shared" si="13"/>
        <v>-15</v>
      </c>
      <c r="R24" s="22">
        <f t="shared" si="14"/>
        <v>-26</v>
      </c>
      <c r="S24" s="145">
        <f t="shared" si="15"/>
        <v>3.8999999999999999E-4</v>
      </c>
      <c r="T24" s="22">
        <f t="shared" si="16"/>
        <v>-38</v>
      </c>
      <c r="U24" s="22">
        <f t="shared" si="17"/>
        <v>-28</v>
      </c>
      <c r="V24" s="145">
        <f t="shared" si="18"/>
        <v>0</v>
      </c>
      <c r="W24" s="145">
        <f t="shared" si="19"/>
        <v>0</v>
      </c>
      <c r="X24" s="145">
        <f t="shared" si="20"/>
        <v>-6.8100000000000001E-3</v>
      </c>
      <c r="Y24" s="22">
        <f t="shared" si="0"/>
        <v>0</v>
      </c>
      <c r="Z24" s="22">
        <f t="shared" si="1"/>
        <v>0</v>
      </c>
      <c r="AA24" s="22">
        <f t="shared" si="2"/>
        <v>0</v>
      </c>
      <c r="AB24" s="23">
        <f t="shared" si="21"/>
        <v>0</v>
      </c>
      <c r="AC24" s="199">
        <f t="shared" si="22"/>
        <v>0</v>
      </c>
      <c r="AD24" s="204" t="e">
        <f t="shared" si="3"/>
        <v>#N/A</v>
      </c>
      <c r="AE24" s="201" t="e">
        <f t="shared" si="4"/>
        <v>#N/A</v>
      </c>
      <c r="AF24" s="201" t="e">
        <f t="shared" si="5"/>
        <v>#N/A</v>
      </c>
      <c r="AG24" s="201" t="e">
        <f t="shared" si="23"/>
        <v>#N/A</v>
      </c>
      <c r="AH24" s="201" t="e">
        <f t="shared" si="24"/>
        <v>#N/A</v>
      </c>
      <c r="AI24" s="205" t="e">
        <f t="shared" si="25"/>
        <v>#N/A</v>
      </c>
      <c r="AJ24" s="200">
        <f t="shared" si="26"/>
        <v>0</v>
      </c>
      <c r="AK24" s="201">
        <f t="shared" si="27"/>
        <v>0</v>
      </c>
      <c r="AL24" s="202">
        <f t="shared" si="28"/>
        <v>0</v>
      </c>
      <c r="AM24" s="203">
        <f t="shared" si="29"/>
        <v>0</v>
      </c>
      <c r="AN24" s="203">
        <f t="shared" si="30"/>
        <v>0</v>
      </c>
      <c r="AO24" s="29">
        <f t="shared" si="31"/>
        <v>0</v>
      </c>
      <c r="AP24" s="191">
        <f>IF(G24=$G$2,2,IF(G24=$G$3,4,0))*$AP$12*B24</f>
        <v>0</v>
      </c>
      <c r="AQ24" s="203">
        <f t="shared" si="33"/>
        <v>0</v>
      </c>
      <c r="AR24" s="203">
        <f t="shared" si="34"/>
        <v>0</v>
      </c>
      <c r="AS24" s="147" t="str">
        <f t="shared" si="35"/>
        <v/>
      </c>
    </row>
    <row r="25" spans="1:45" s="6" customFormat="1"/>
    <row r="26" spans="1:45" s="6" customFormat="1" hidden="1"/>
    <row r="27" spans="1:45" s="6" customFormat="1" hidden="1">
      <c r="G27" s="1" t="s">
        <v>2</v>
      </c>
      <c r="H27" s="1"/>
      <c r="I27" s="1"/>
    </row>
    <row r="28" spans="1:45" s="6" customFormat="1" hidden="1">
      <c r="G28" s="1" t="s">
        <v>114</v>
      </c>
      <c r="H28" s="1"/>
      <c r="I28" s="1"/>
    </row>
    <row r="29" spans="1:45" s="6" customFormat="1" hidden="1">
      <c r="G29" s="1" t="s">
        <v>15</v>
      </c>
      <c r="H29" s="1"/>
      <c r="I29" s="1"/>
    </row>
    <row r="30" spans="1:45" s="44" customFormat="1" hidden="1">
      <c r="G30" s="1" t="s">
        <v>75</v>
      </c>
      <c r="H30" s="1"/>
      <c r="I30" s="1"/>
    </row>
    <row r="31" spans="1:45" hidden="1">
      <c r="G31" s="1" t="s">
        <v>76</v>
      </c>
    </row>
    <row r="32" spans="1:45" hidden="1">
      <c r="G32" s="1" t="s">
        <v>80</v>
      </c>
    </row>
    <row r="33" spans="1:46" hidden="1">
      <c r="AN33" s="208"/>
    </row>
    <row r="34" spans="1:46" hidden="1"/>
    <row r="35" spans="1:46" ht="15.75" thickBot="1"/>
    <row r="36" spans="1:46" s="4" customFormat="1" ht="23.25" customHeight="1" thickBot="1">
      <c r="A36" s="222" t="s">
        <v>58</v>
      </c>
      <c r="B36" s="223"/>
      <c r="C36" s="223"/>
      <c r="D36" s="223"/>
      <c r="E36" s="223"/>
      <c r="F36" s="223"/>
      <c r="G36" s="223"/>
      <c r="H36" s="223"/>
      <c r="I36" s="223"/>
      <c r="J36" s="223"/>
      <c r="K36" s="223"/>
      <c r="L36" s="223"/>
      <c r="M36" s="223"/>
      <c r="N36" s="223"/>
      <c r="O36" s="223"/>
      <c r="P36" s="223"/>
      <c r="Q36" s="223"/>
      <c r="R36" s="223"/>
      <c r="S36" s="223"/>
      <c r="T36" s="223"/>
      <c r="U36" s="223"/>
      <c r="V36" s="223"/>
      <c r="W36" s="223"/>
      <c r="X36" s="229"/>
      <c r="Y36" s="1"/>
      <c r="Z36" s="1"/>
      <c r="AA36" s="1"/>
      <c r="AC36" s="162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163"/>
      <c r="AO36" s="206" t="s">
        <v>125</v>
      </c>
      <c r="AP36" s="206" t="s">
        <v>124</v>
      </c>
      <c r="AQ36" s="160" t="s">
        <v>57</v>
      </c>
      <c r="AR36" s="165"/>
      <c r="AS36" s="148"/>
    </row>
    <row r="37" spans="1:46" s="6" customFormat="1" ht="30" customHeight="1" thickBot="1">
      <c r="A37" s="5"/>
      <c r="B37" s="150" t="s">
        <v>14</v>
      </c>
      <c r="C37" s="151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3"/>
      <c r="Z37" s="173"/>
      <c r="AA37" s="173"/>
      <c r="AB37" s="159"/>
      <c r="AC37" s="159"/>
      <c r="AD37" s="157"/>
      <c r="AE37" s="157"/>
      <c r="AF37" s="157"/>
      <c r="AG37" s="157"/>
      <c r="AH37" s="157"/>
      <c r="AI37" s="157"/>
      <c r="AJ37" s="156"/>
      <c r="AK37" s="141"/>
      <c r="AL37" s="157"/>
      <c r="AM37" s="164"/>
      <c r="AN37" s="63"/>
      <c r="AO37" s="161"/>
      <c r="AP37" s="158"/>
      <c r="AQ37" s="207"/>
      <c r="AR37" s="166"/>
      <c r="AS37" s="149"/>
    </row>
    <row r="38" spans="1:46" s="8" customFormat="1" ht="30" customHeight="1" thickBot="1">
      <c r="A38" s="7" t="s">
        <v>41</v>
      </c>
      <c r="B38" s="154" t="s">
        <v>42</v>
      </c>
      <c r="C38" s="154" t="s">
        <v>43</v>
      </c>
      <c r="D38" s="154" t="s">
        <v>46</v>
      </c>
      <c r="E38" s="154" t="s">
        <v>47</v>
      </c>
      <c r="F38" s="154" t="s">
        <v>113</v>
      </c>
      <c r="G38" s="155" t="s">
        <v>45</v>
      </c>
      <c r="H38" s="153" t="s">
        <v>103</v>
      </c>
      <c r="I38" s="152" t="s">
        <v>104</v>
      </c>
      <c r="J38" s="152" t="s">
        <v>123</v>
      </c>
      <c r="K38" s="152" t="s">
        <v>105</v>
      </c>
      <c r="L38" s="152" t="s">
        <v>106</v>
      </c>
      <c r="M38" s="152" t="s">
        <v>123</v>
      </c>
      <c r="N38" s="152" t="s">
        <v>129</v>
      </c>
      <c r="O38" s="152" t="s">
        <v>130</v>
      </c>
      <c r="P38" s="152" t="s">
        <v>123</v>
      </c>
      <c r="Q38" s="152" t="s">
        <v>109</v>
      </c>
      <c r="R38" s="152" t="s">
        <v>110</v>
      </c>
      <c r="S38" s="152" t="s">
        <v>123</v>
      </c>
      <c r="T38" s="152" t="s">
        <v>111</v>
      </c>
      <c r="U38" s="152" t="s">
        <v>112</v>
      </c>
      <c r="V38" s="152" t="s">
        <v>123</v>
      </c>
      <c r="W38" s="152" t="s">
        <v>39</v>
      </c>
      <c r="X38" s="152" t="s">
        <v>115</v>
      </c>
      <c r="Y38" s="152"/>
      <c r="Z38" s="152"/>
      <c r="AA38" s="152"/>
      <c r="AB38" s="167"/>
      <c r="AC38" s="168"/>
      <c r="AD38" s="153"/>
      <c r="AE38" s="152"/>
      <c r="AF38" s="152"/>
      <c r="AG38" s="152"/>
      <c r="AH38" s="152"/>
      <c r="AI38" s="167"/>
      <c r="AJ38" s="7"/>
      <c r="AK38" s="154"/>
      <c r="AL38" s="155"/>
      <c r="AM38" s="168" t="s">
        <v>52</v>
      </c>
      <c r="AN38" s="168"/>
      <c r="AO38" s="169" t="s">
        <v>126</v>
      </c>
      <c r="AP38" s="170" t="s">
        <v>127</v>
      </c>
      <c r="AQ38" s="171" t="s">
        <v>54</v>
      </c>
      <c r="AR38" s="168" t="s">
        <v>55</v>
      </c>
    </row>
    <row r="39" spans="1:46" s="8" customFormat="1" ht="3" customHeight="1" thickBot="1">
      <c r="A39" s="178"/>
      <c r="B39" s="179"/>
      <c r="C39" s="179"/>
      <c r="D39" s="179"/>
      <c r="E39" s="179"/>
      <c r="F39" s="179"/>
      <c r="G39" s="181"/>
      <c r="H39" s="179"/>
      <c r="I39" s="179"/>
      <c r="J39" s="179"/>
      <c r="K39" s="179"/>
      <c r="L39" s="179"/>
      <c r="M39" s="179"/>
      <c r="N39" s="179"/>
      <c r="O39" s="179"/>
      <c r="P39" s="179"/>
      <c r="Q39" s="179"/>
      <c r="R39" s="179"/>
      <c r="S39" s="179"/>
      <c r="T39" s="179"/>
      <c r="U39" s="179"/>
      <c r="V39" s="179"/>
      <c r="W39" s="179"/>
      <c r="X39" s="179"/>
      <c r="Y39" s="179"/>
      <c r="Z39" s="179"/>
      <c r="AA39" s="179"/>
      <c r="AB39" s="179"/>
      <c r="AC39" s="184"/>
      <c r="AD39" s="179"/>
      <c r="AE39" s="179"/>
      <c r="AF39" s="179"/>
      <c r="AG39" s="179"/>
      <c r="AH39" s="179"/>
      <c r="AI39" s="179"/>
      <c r="AJ39" s="185"/>
      <c r="AK39" s="180"/>
      <c r="AL39" s="181"/>
      <c r="AM39" s="184"/>
      <c r="AN39" s="184"/>
      <c r="AO39" s="180"/>
      <c r="AP39" s="186"/>
      <c r="AQ39" s="187"/>
      <c r="AR39" s="184"/>
    </row>
    <row r="40" spans="1:46" s="6" customFormat="1" ht="20.100000000000001" customHeight="1">
      <c r="A40" s="174">
        <v>1</v>
      </c>
      <c r="B40" s="175"/>
      <c r="C40" s="175"/>
      <c r="D40" s="175"/>
      <c r="E40" s="209"/>
      <c r="F40" s="175"/>
      <c r="G40" s="210"/>
      <c r="H40" s="182">
        <f>D40</f>
        <v>0</v>
      </c>
      <c r="I40" s="176">
        <f>E40</f>
        <v>0</v>
      </c>
      <c r="J40" s="177">
        <f>H40*I40*0.000001*2</f>
        <v>0</v>
      </c>
      <c r="K40" s="176">
        <f>C40-36</f>
        <v>-36</v>
      </c>
      <c r="L40" s="176">
        <f>E40</f>
        <v>0</v>
      </c>
      <c r="M40" s="177">
        <f>K40*L40*0.000001</f>
        <v>0</v>
      </c>
      <c r="N40" s="176">
        <f>K40</f>
        <v>-36</v>
      </c>
      <c r="O40" s="176">
        <f>L40-18</f>
        <v>-18</v>
      </c>
      <c r="P40" s="177">
        <f>N40*O40*0.000001</f>
        <v>6.4799999999999992E-4</v>
      </c>
      <c r="Q40" s="176">
        <f>H40-15</f>
        <v>-15</v>
      </c>
      <c r="R40" s="176">
        <f>K40+10</f>
        <v>-26</v>
      </c>
      <c r="S40" s="177">
        <f>Q40*R40*0.000001</f>
        <v>3.8999999999999999E-4</v>
      </c>
      <c r="T40" s="176">
        <f>K40-2</f>
        <v>-38</v>
      </c>
      <c r="U40" s="176">
        <f>L40-28</f>
        <v>-28</v>
      </c>
      <c r="V40" s="177">
        <f>T40*U40*0.000001*F40</f>
        <v>0</v>
      </c>
      <c r="W40" s="177">
        <f>C40*D40*0.000001*B40</f>
        <v>0</v>
      </c>
      <c r="X40" s="177">
        <f>(J40+M40+P40+S40+V40)</f>
        <v>1.0379999999999999E-3</v>
      </c>
      <c r="Y40" s="176"/>
      <c r="Z40" s="176"/>
      <c r="AA40" s="176"/>
      <c r="AB40" s="139"/>
      <c r="AC40" s="188"/>
      <c r="AD40" s="189"/>
      <c r="AE40" s="190"/>
      <c r="AF40" s="190"/>
      <c r="AG40" s="190"/>
      <c r="AH40" s="190"/>
      <c r="AI40" s="191"/>
      <c r="AJ40" s="192"/>
      <c r="AK40" s="190"/>
      <c r="AL40" s="193"/>
      <c r="AM40" s="194">
        <f>ROUNDUP((4357.2*X40 + 16579)*1.15,-3)*B40</f>
        <v>0</v>
      </c>
      <c r="AN40" s="194"/>
      <c r="AO40" s="189">
        <f>IF(G40=$G$28,1,IF(G40=$G$29,2,))*$AO$12*B40</f>
        <v>0</v>
      </c>
      <c r="AP40" s="191">
        <f>IF(G40=$G$28,3,IF(G40=G29,6,0))*$AP$12*B40</f>
        <v>0</v>
      </c>
      <c r="AQ40" s="194">
        <f>ROUNDUP($AQ$12*C40*D40*B40*0.000001+AO40+AP40,-2)</f>
        <v>0</v>
      </c>
      <c r="AR40" s="194">
        <f>AM40+AQ40</f>
        <v>0</v>
      </c>
      <c r="AS40" s="6" t="str">
        <f>IF(AND(C40&lt;400,G40=$G$3),"Kétfelé nyíló keskeny ajtók. Jó így?","")</f>
        <v/>
      </c>
      <c r="AT40" s="6" t="str">
        <f>IF(AB40&lt;0,"Nem férnek el a fiókok. Növelje a magasságot!","")</f>
        <v/>
      </c>
    </row>
    <row r="41" spans="1:46" s="6" customFormat="1" ht="20.100000000000001" customHeight="1">
      <c r="A41" s="110">
        <v>2</v>
      </c>
      <c r="B41" s="144"/>
      <c r="C41" s="144"/>
      <c r="D41" s="144"/>
      <c r="E41" s="211"/>
      <c r="F41" s="144"/>
      <c r="G41" s="212"/>
      <c r="H41" s="138">
        <f t="shared" ref="H41:H49" si="37">D41</f>
        <v>0</v>
      </c>
      <c r="I41" s="22">
        <f t="shared" ref="I41:I49" si="38">E41</f>
        <v>0</v>
      </c>
      <c r="J41" s="145">
        <f t="shared" ref="J41:J49" si="39">H41*I41*0.000001*2</f>
        <v>0</v>
      </c>
      <c r="K41" s="22">
        <f t="shared" ref="K41:K49" si="40">C41-36</f>
        <v>-36</v>
      </c>
      <c r="L41" s="22">
        <f t="shared" ref="L41:L49" si="41">E41</f>
        <v>0</v>
      </c>
      <c r="M41" s="145">
        <f t="shared" ref="M41:M49" si="42">K41*L41*0.000001</f>
        <v>0</v>
      </c>
      <c r="N41" s="22">
        <f t="shared" ref="N41:N49" si="43">K41</f>
        <v>-36</v>
      </c>
      <c r="O41" s="176">
        <f t="shared" ref="O41:O49" si="44">L41-18</f>
        <v>-18</v>
      </c>
      <c r="P41" s="177">
        <f t="shared" ref="P41:P49" si="45">N41*O41*0.000001</f>
        <v>6.4799999999999992E-4</v>
      </c>
      <c r="Q41" s="22">
        <f t="shared" ref="Q41:Q49" si="46">H41-15</f>
        <v>-15</v>
      </c>
      <c r="R41" s="22">
        <f t="shared" ref="R41:R49" si="47">K41+10</f>
        <v>-26</v>
      </c>
      <c r="S41" s="145">
        <f t="shared" ref="S41:S49" si="48">Q41*R41*0.000001</f>
        <v>3.8999999999999999E-4</v>
      </c>
      <c r="T41" s="22">
        <f t="shared" ref="T41:T49" si="49">K41-2</f>
        <v>-38</v>
      </c>
      <c r="U41" s="22">
        <f t="shared" ref="U41:U49" si="50">L41-28</f>
        <v>-28</v>
      </c>
      <c r="V41" s="177">
        <f t="shared" ref="V41:V49" si="51">T41*U41*0.000001*F41</f>
        <v>0</v>
      </c>
      <c r="W41" s="145">
        <f t="shared" ref="W41:W49" si="52">C41*D41*0.000001*B41</f>
        <v>0</v>
      </c>
      <c r="X41" s="145">
        <f t="shared" ref="X41:X49" si="53">(J41+M41+P41+S41+V41)</f>
        <v>1.0379999999999999E-3</v>
      </c>
      <c r="Y41" s="22"/>
      <c r="Z41" s="22"/>
      <c r="AA41" s="22"/>
      <c r="AB41" s="23"/>
      <c r="AC41" s="188"/>
      <c r="AD41" s="196"/>
      <c r="AE41" s="146"/>
      <c r="AF41" s="146"/>
      <c r="AG41" s="146"/>
      <c r="AH41" s="146"/>
      <c r="AI41" s="197"/>
      <c r="AJ41" s="192"/>
      <c r="AK41" s="190"/>
      <c r="AL41" s="193"/>
      <c r="AM41" s="198">
        <f t="shared" ref="AM41:AM49" si="54">ROUNDUP((5477*X41 + 15262)*1.15,-3)*B41</f>
        <v>0</v>
      </c>
      <c r="AN41" s="194"/>
      <c r="AO41" s="24">
        <f t="shared" ref="AO41:AO46" si="55">IF(G41=$G$2,1,IF(G41=$G$3,2,IF(G41=$G$4,3,IF(G41=$G$5,4,IF(G41=$G$6,5,0)))))*$AO$12*B41</f>
        <v>0</v>
      </c>
      <c r="AP41" s="197">
        <f t="shared" ref="AP41:AP49" si="56">IF(G41=$G$2,2,IF(G41=G29,4,0))*$AP$12*B41</f>
        <v>0</v>
      </c>
      <c r="AQ41" s="194">
        <f t="shared" ref="AQ41:AQ49" si="57">ROUNDUP($AQ$12*C41*D41*B41*0.000001+AO41+AP41,-2)</f>
        <v>0</v>
      </c>
      <c r="AR41" s="194">
        <f t="shared" ref="AR41:AR49" si="58">AM41+AQ41</f>
        <v>0</v>
      </c>
      <c r="AS41" s="147" t="str">
        <f t="shared" ref="AS41:AS49" si="59">IF(AB41&lt;0,"Nem férnek el a fiókok. Növelje a magasságot!","")</f>
        <v/>
      </c>
    </row>
    <row r="42" spans="1:46" s="6" customFormat="1" ht="20.100000000000001" customHeight="1">
      <c r="A42" s="110">
        <v>3</v>
      </c>
      <c r="B42" s="144"/>
      <c r="C42" s="144"/>
      <c r="D42" s="144"/>
      <c r="E42" s="211"/>
      <c r="F42" s="144"/>
      <c r="G42" s="212"/>
      <c r="H42" s="138">
        <f t="shared" si="37"/>
        <v>0</v>
      </c>
      <c r="I42" s="22">
        <f t="shared" si="38"/>
        <v>0</v>
      </c>
      <c r="J42" s="145">
        <f t="shared" si="39"/>
        <v>0</v>
      </c>
      <c r="K42" s="22">
        <f t="shared" si="40"/>
        <v>-36</v>
      </c>
      <c r="L42" s="22">
        <f t="shared" si="41"/>
        <v>0</v>
      </c>
      <c r="M42" s="145">
        <f t="shared" si="42"/>
        <v>0</v>
      </c>
      <c r="N42" s="22">
        <f t="shared" si="43"/>
        <v>-36</v>
      </c>
      <c r="O42" s="176">
        <f t="shared" si="44"/>
        <v>-18</v>
      </c>
      <c r="P42" s="177">
        <f t="shared" si="45"/>
        <v>6.4799999999999992E-4</v>
      </c>
      <c r="Q42" s="22">
        <f t="shared" si="46"/>
        <v>-15</v>
      </c>
      <c r="R42" s="22">
        <f t="shared" si="47"/>
        <v>-26</v>
      </c>
      <c r="S42" s="145">
        <f t="shared" si="48"/>
        <v>3.8999999999999999E-4</v>
      </c>
      <c r="T42" s="22">
        <f t="shared" si="49"/>
        <v>-38</v>
      </c>
      <c r="U42" s="22">
        <f t="shared" si="50"/>
        <v>-28</v>
      </c>
      <c r="V42" s="177">
        <f t="shared" si="51"/>
        <v>0</v>
      </c>
      <c r="W42" s="145">
        <f t="shared" si="52"/>
        <v>0</v>
      </c>
      <c r="X42" s="145">
        <f t="shared" si="53"/>
        <v>1.0379999999999999E-3</v>
      </c>
      <c r="Y42" s="22"/>
      <c r="Z42" s="22"/>
      <c r="AA42" s="22"/>
      <c r="AB42" s="23"/>
      <c r="AC42" s="188"/>
      <c r="AD42" s="196"/>
      <c r="AE42" s="146"/>
      <c r="AF42" s="146"/>
      <c r="AG42" s="146"/>
      <c r="AH42" s="146"/>
      <c r="AI42" s="197"/>
      <c r="AJ42" s="192"/>
      <c r="AK42" s="190"/>
      <c r="AL42" s="193"/>
      <c r="AM42" s="198">
        <f t="shared" si="54"/>
        <v>0</v>
      </c>
      <c r="AN42" s="194"/>
      <c r="AO42" s="24">
        <f t="shared" si="55"/>
        <v>0</v>
      </c>
      <c r="AP42" s="197">
        <f t="shared" si="56"/>
        <v>0</v>
      </c>
      <c r="AQ42" s="194">
        <f t="shared" si="57"/>
        <v>0</v>
      </c>
      <c r="AR42" s="194">
        <f t="shared" si="58"/>
        <v>0</v>
      </c>
      <c r="AS42" s="147" t="str">
        <f t="shared" si="59"/>
        <v/>
      </c>
    </row>
    <row r="43" spans="1:46" s="6" customFormat="1" ht="20.100000000000001" customHeight="1">
      <c r="A43" s="110">
        <v>4</v>
      </c>
      <c r="B43" s="144"/>
      <c r="C43" s="144"/>
      <c r="D43" s="144"/>
      <c r="E43" s="211"/>
      <c r="F43" s="144"/>
      <c r="G43" s="212"/>
      <c r="H43" s="138">
        <f t="shared" si="37"/>
        <v>0</v>
      </c>
      <c r="I43" s="22">
        <f t="shared" si="38"/>
        <v>0</v>
      </c>
      <c r="J43" s="145">
        <f t="shared" si="39"/>
        <v>0</v>
      </c>
      <c r="K43" s="22">
        <f t="shared" si="40"/>
        <v>-36</v>
      </c>
      <c r="L43" s="22">
        <f t="shared" si="41"/>
        <v>0</v>
      </c>
      <c r="M43" s="145">
        <f t="shared" si="42"/>
        <v>0</v>
      </c>
      <c r="N43" s="22">
        <f t="shared" si="43"/>
        <v>-36</v>
      </c>
      <c r="O43" s="176">
        <f t="shared" si="44"/>
        <v>-18</v>
      </c>
      <c r="P43" s="177">
        <f t="shared" si="45"/>
        <v>6.4799999999999992E-4</v>
      </c>
      <c r="Q43" s="22">
        <f t="shared" si="46"/>
        <v>-15</v>
      </c>
      <c r="R43" s="22">
        <f t="shared" si="47"/>
        <v>-26</v>
      </c>
      <c r="S43" s="145">
        <f t="shared" si="48"/>
        <v>3.8999999999999999E-4</v>
      </c>
      <c r="T43" s="22">
        <f t="shared" si="49"/>
        <v>-38</v>
      </c>
      <c r="U43" s="22">
        <f t="shared" si="50"/>
        <v>-28</v>
      </c>
      <c r="V43" s="177">
        <f t="shared" si="51"/>
        <v>0</v>
      </c>
      <c r="W43" s="145">
        <f t="shared" si="52"/>
        <v>0</v>
      </c>
      <c r="X43" s="145">
        <f t="shared" si="53"/>
        <v>1.0379999999999999E-3</v>
      </c>
      <c r="Y43" s="22"/>
      <c r="Z43" s="22"/>
      <c r="AA43" s="22"/>
      <c r="AB43" s="23"/>
      <c r="AC43" s="188"/>
      <c r="AD43" s="196"/>
      <c r="AE43" s="146"/>
      <c r="AF43" s="146"/>
      <c r="AG43" s="146"/>
      <c r="AH43" s="146"/>
      <c r="AI43" s="197"/>
      <c r="AJ43" s="192"/>
      <c r="AK43" s="190"/>
      <c r="AL43" s="193"/>
      <c r="AM43" s="198">
        <f t="shared" si="54"/>
        <v>0</v>
      </c>
      <c r="AN43" s="194"/>
      <c r="AO43" s="24">
        <f t="shared" si="55"/>
        <v>0</v>
      </c>
      <c r="AP43" s="197">
        <f t="shared" si="56"/>
        <v>0</v>
      </c>
      <c r="AQ43" s="194">
        <f t="shared" si="57"/>
        <v>0</v>
      </c>
      <c r="AR43" s="194">
        <f t="shared" si="58"/>
        <v>0</v>
      </c>
      <c r="AS43" s="147" t="str">
        <f t="shared" si="59"/>
        <v/>
      </c>
    </row>
    <row r="44" spans="1:46" s="6" customFormat="1" ht="20.100000000000001" customHeight="1">
      <c r="A44" s="110">
        <v>5</v>
      </c>
      <c r="B44" s="144"/>
      <c r="C44" s="144"/>
      <c r="D44" s="144"/>
      <c r="E44" s="211"/>
      <c r="F44" s="144"/>
      <c r="G44" s="212"/>
      <c r="H44" s="138">
        <f t="shared" si="37"/>
        <v>0</v>
      </c>
      <c r="I44" s="22">
        <f t="shared" si="38"/>
        <v>0</v>
      </c>
      <c r="J44" s="145">
        <f t="shared" si="39"/>
        <v>0</v>
      </c>
      <c r="K44" s="22">
        <f t="shared" si="40"/>
        <v>-36</v>
      </c>
      <c r="L44" s="22">
        <f t="shared" si="41"/>
        <v>0</v>
      </c>
      <c r="M44" s="145">
        <f t="shared" si="42"/>
        <v>0</v>
      </c>
      <c r="N44" s="22">
        <f t="shared" si="43"/>
        <v>-36</v>
      </c>
      <c r="O44" s="176">
        <f t="shared" si="44"/>
        <v>-18</v>
      </c>
      <c r="P44" s="177">
        <f t="shared" si="45"/>
        <v>6.4799999999999992E-4</v>
      </c>
      <c r="Q44" s="22">
        <f t="shared" si="46"/>
        <v>-15</v>
      </c>
      <c r="R44" s="22">
        <f t="shared" si="47"/>
        <v>-26</v>
      </c>
      <c r="S44" s="145">
        <f t="shared" si="48"/>
        <v>3.8999999999999999E-4</v>
      </c>
      <c r="T44" s="22">
        <f t="shared" si="49"/>
        <v>-38</v>
      </c>
      <c r="U44" s="22">
        <f t="shared" si="50"/>
        <v>-28</v>
      </c>
      <c r="V44" s="177">
        <f t="shared" si="51"/>
        <v>0</v>
      </c>
      <c r="W44" s="145">
        <f t="shared" si="52"/>
        <v>0</v>
      </c>
      <c r="X44" s="145">
        <f t="shared" si="53"/>
        <v>1.0379999999999999E-3</v>
      </c>
      <c r="Y44" s="22"/>
      <c r="Z44" s="22"/>
      <c r="AA44" s="22"/>
      <c r="AB44" s="23"/>
      <c r="AC44" s="188"/>
      <c r="AD44" s="196"/>
      <c r="AE44" s="146"/>
      <c r="AF44" s="146"/>
      <c r="AG44" s="146"/>
      <c r="AH44" s="146"/>
      <c r="AI44" s="197"/>
      <c r="AJ44" s="192"/>
      <c r="AK44" s="190"/>
      <c r="AL44" s="193"/>
      <c r="AM44" s="198">
        <f t="shared" si="54"/>
        <v>0</v>
      </c>
      <c r="AN44" s="194"/>
      <c r="AO44" s="24">
        <f t="shared" si="55"/>
        <v>0</v>
      </c>
      <c r="AP44" s="197">
        <f t="shared" si="56"/>
        <v>0</v>
      </c>
      <c r="AQ44" s="194">
        <f t="shared" si="57"/>
        <v>0</v>
      </c>
      <c r="AR44" s="194">
        <f t="shared" si="58"/>
        <v>0</v>
      </c>
      <c r="AS44" s="147" t="str">
        <f t="shared" si="59"/>
        <v/>
      </c>
    </row>
    <row r="45" spans="1:46" s="6" customFormat="1" ht="20.100000000000001" customHeight="1">
      <c r="A45" s="110">
        <v>6</v>
      </c>
      <c r="B45" s="144"/>
      <c r="C45" s="144"/>
      <c r="D45" s="144"/>
      <c r="E45" s="211"/>
      <c r="F45" s="144"/>
      <c r="G45" s="212"/>
      <c r="H45" s="138">
        <f t="shared" si="37"/>
        <v>0</v>
      </c>
      <c r="I45" s="22">
        <f t="shared" si="38"/>
        <v>0</v>
      </c>
      <c r="J45" s="145">
        <f t="shared" si="39"/>
        <v>0</v>
      </c>
      <c r="K45" s="22">
        <f t="shared" si="40"/>
        <v>-36</v>
      </c>
      <c r="L45" s="22">
        <f t="shared" si="41"/>
        <v>0</v>
      </c>
      <c r="M45" s="145">
        <f t="shared" si="42"/>
        <v>0</v>
      </c>
      <c r="N45" s="22">
        <f t="shared" si="43"/>
        <v>-36</v>
      </c>
      <c r="O45" s="176">
        <f t="shared" si="44"/>
        <v>-18</v>
      </c>
      <c r="P45" s="177">
        <f t="shared" si="45"/>
        <v>6.4799999999999992E-4</v>
      </c>
      <c r="Q45" s="22">
        <f t="shared" si="46"/>
        <v>-15</v>
      </c>
      <c r="R45" s="22">
        <f t="shared" si="47"/>
        <v>-26</v>
      </c>
      <c r="S45" s="145">
        <f t="shared" si="48"/>
        <v>3.8999999999999999E-4</v>
      </c>
      <c r="T45" s="22">
        <f t="shared" si="49"/>
        <v>-38</v>
      </c>
      <c r="U45" s="22">
        <f t="shared" si="50"/>
        <v>-28</v>
      </c>
      <c r="V45" s="177">
        <f t="shared" si="51"/>
        <v>0</v>
      </c>
      <c r="W45" s="145">
        <f t="shared" si="52"/>
        <v>0</v>
      </c>
      <c r="X45" s="145">
        <f t="shared" si="53"/>
        <v>1.0379999999999999E-3</v>
      </c>
      <c r="Y45" s="22"/>
      <c r="Z45" s="22"/>
      <c r="AA45" s="22"/>
      <c r="AB45" s="23"/>
      <c r="AC45" s="188"/>
      <c r="AD45" s="196"/>
      <c r="AE45" s="146"/>
      <c r="AF45" s="146"/>
      <c r="AG45" s="146"/>
      <c r="AH45" s="146"/>
      <c r="AI45" s="197"/>
      <c r="AJ45" s="192"/>
      <c r="AK45" s="190"/>
      <c r="AL45" s="193"/>
      <c r="AM45" s="198">
        <f t="shared" si="54"/>
        <v>0</v>
      </c>
      <c r="AN45" s="194"/>
      <c r="AO45" s="24">
        <f t="shared" si="55"/>
        <v>0</v>
      </c>
      <c r="AP45" s="197">
        <f t="shared" si="56"/>
        <v>0</v>
      </c>
      <c r="AQ45" s="194">
        <f t="shared" si="57"/>
        <v>0</v>
      </c>
      <c r="AR45" s="194">
        <f t="shared" si="58"/>
        <v>0</v>
      </c>
      <c r="AS45" s="147" t="str">
        <f t="shared" si="59"/>
        <v/>
      </c>
    </row>
    <row r="46" spans="1:46" s="6" customFormat="1" ht="20.100000000000001" customHeight="1">
      <c r="A46" s="110">
        <v>7</v>
      </c>
      <c r="B46" s="144"/>
      <c r="C46" s="144"/>
      <c r="D46" s="144"/>
      <c r="E46" s="211"/>
      <c r="F46" s="144"/>
      <c r="G46" s="212"/>
      <c r="H46" s="138">
        <f t="shared" si="37"/>
        <v>0</v>
      </c>
      <c r="I46" s="22">
        <f t="shared" si="38"/>
        <v>0</v>
      </c>
      <c r="J46" s="145">
        <f t="shared" si="39"/>
        <v>0</v>
      </c>
      <c r="K46" s="22">
        <f t="shared" si="40"/>
        <v>-36</v>
      </c>
      <c r="L46" s="22">
        <f t="shared" si="41"/>
        <v>0</v>
      </c>
      <c r="M46" s="145">
        <f t="shared" si="42"/>
        <v>0</v>
      </c>
      <c r="N46" s="22">
        <f t="shared" si="43"/>
        <v>-36</v>
      </c>
      <c r="O46" s="176">
        <f t="shared" si="44"/>
        <v>-18</v>
      </c>
      <c r="P46" s="177">
        <f t="shared" si="45"/>
        <v>6.4799999999999992E-4</v>
      </c>
      <c r="Q46" s="22">
        <f t="shared" si="46"/>
        <v>-15</v>
      </c>
      <c r="R46" s="22">
        <f t="shared" si="47"/>
        <v>-26</v>
      </c>
      <c r="S46" s="145">
        <f t="shared" si="48"/>
        <v>3.8999999999999999E-4</v>
      </c>
      <c r="T46" s="22">
        <f t="shared" si="49"/>
        <v>-38</v>
      </c>
      <c r="U46" s="22">
        <f t="shared" si="50"/>
        <v>-28</v>
      </c>
      <c r="V46" s="177">
        <f t="shared" si="51"/>
        <v>0</v>
      </c>
      <c r="W46" s="145">
        <f t="shared" si="52"/>
        <v>0</v>
      </c>
      <c r="X46" s="145">
        <f t="shared" si="53"/>
        <v>1.0379999999999999E-3</v>
      </c>
      <c r="Y46" s="22"/>
      <c r="Z46" s="22"/>
      <c r="AA46" s="22"/>
      <c r="AB46" s="23"/>
      <c r="AC46" s="188"/>
      <c r="AD46" s="196"/>
      <c r="AE46" s="146"/>
      <c r="AF46" s="146"/>
      <c r="AG46" s="146"/>
      <c r="AH46" s="146"/>
      <c r="AI46" s="197"/>
      <c r="AJ46" s="192"/>
      <c r="AK46" s="190"/>
      <c r="AL46" s="193"/>
      <c r="AM46" s="198">
        <f t="shared" si="54"/>
        <v>0</v>
      </c>
      <c r="AN46" s="194"/>
      <c r="AO46" s="24">
        <f t="shared" si="55"/>
        <v>0</v>
      </c>
      <c r="AP46" s="197">
        <f t="shared" si="56"/>
        <v>0</v>
      </c>
      <c r="AQ46" s="194">
        <f t="shared" si="57"/>
        <v>0</v>
      </c>
      <c r="AR46" s="194">
        <f t="shared" si="58"/>
        <v>0</v>
      </c>
      <c r="AS46" s="147" t="str">
        <f t="shared" si="59"/>
        <v/>
      </c>
    </row>
    <row r="47" spans="1:46" s="6" customFormat="1" ht="20.100000000000001" customHeight="1">
      <c r="A47" s="110">
        <v>8</v>
      </c>
      <c r="B47" s="144"/>
      <c r="C47" s="144"/>
      <c r="D47" s="144"/>
      <c r="E47" s="211"/>
      <c r="F47" s="144"/>
      <c r="G47" s="212"/>
      <c r="H47" s="138">
        <f t="shared" si="37"/>
        <v>0</v>
      </c>
      <c r="I47" s="22">
        <f t="shared" si="38"/>
        <v>0</v>
      </c>
      <c r="J47" s="145">
        <f t="shared" si="39"/>
        <v>0</v>
      </c>
      <c r="K47" s="22">
        <f t="shared" si="40"/>
        <v>-36</v>
      </c>
      <c r="L47" s="22">
        <f t="shared" si="41"/>
        <v>0</v>
      </c>
      <c r="M47" s="145">
        <f t="shared" si="42"/>
        <v>0</v>
      </c>
      <c r="N47" s="22">
        <f t="shared" si="43"/>
        <v>-36</v>
      </c>
      <c r="O47" s="176">
        <f>L47-18</f>
        <v>-18</v>
      </c>
      <c r="P47" s="177">
        <f t="shared" si="45"/>
        <v>6.4799999999999992E-4</v>
      </c>
      <c r="Q47" s="22">
        <f t="shared" si="46"/>
        <v>-15</v>
      </c>
      <c r="R47" s="22">
        <f t="shared" si="47"/>
        <v>-26</v>
      </c>
      <c r="S47" s="145">
        <f t="shared" si="48"/>
        <v>3.8999999999999999E-4</v>
      </c>
      <c r="T47" s="22">
        <f t="shared" si="49"/>
        <v>-38</v>
      </c>
      <c r="U47" s="22">
        <f t="shared" si="50"/>
        <v>-28</v>
      </c>
      <c r="V47" s="177">
        <f t="shared" si="51"/>
        <v>0</v>
      </c>
      <c r="W47" s="145">
        <f t="shared" si="52"/>
        <v>0</v>
      </c>
      <c r="X47" s="145">
        <f t="shared" si="53"/>
        <v>1.0379999999999999E-3</v>
      </c>
      <c r="Y47" s="22"/>
      <c r="Z47" s="22"/>
      <c r="AA47" s="22"/>
      <c r="AB47" s="23"/>
      <c r="AC47" s="188"/>
      <c r="AD47" s="196"/>
      <c r="AE47" s="146"/>
      <c r="AF47" s="146"/>
      <c r="AG47" s="146"/>
      <c r="AH47" s="146"/>
      <c r="AI47" s="197"/>
      <c r="AJ47" s="192"/>
      <c r="AK47" s="190"/>
      <c r="AL47" s="193"/>
      <c r="AM47" s="198">
        <f t="shared" si="54"/>
        <v>0</v>
      </c>
      <c r="AN47" s="194"/>
      <c r="AO47" s="24">
        <f>IF(G47=$G$2,1,IF(G47=$G$3,2,IF(G47=$G$4,3,IF(G47=$G$5,4,IF(G47=$G$6,5,0)))))*$AO$12*B47</f>
        <v>0</v>
      </c>
      <c r="AP47" s="197">
        <f t="shared" si="56"/>
        <v>0</v>
      </c>
      <c r="AQ47" s="194">
        <f t="shared" si="57"/>
        <v>0</v>
      </c>
      <c r="AR47" s="194">
        <f t="shared" si="58"/>
        <v>0</v>
      </c>
      <c r="AS47" s="147" t="str">
        <f t="shared" si="59"/>
        <v/>
      </c>
    </row>
    <row r="48" spans="1:46" s="6" customFormat="1" ht="20.100000000000001" customHeight="1">
      <c r="A48" s="110">
        <v>9</v>
      </c>
      <c r="B48" s="144"/>
      <c r="C48" s="144"/>
      <c r="D48" s="144"/>
      <c r="E48" s="211"/>
      <c r="F48" s="144"/>
      <c r="G48" s="212"/>
      <c r="H48" s="138">
        <f t="shared" si="37"/>
        <v>0</v>
      </c>
      <c r="I48" s="22">
        <f t="shared" si="38"/>
        <v>0</v>
      </c>
      <c r="J48" s="145">
        <f t="shared" si="39"/>
        <v>0</v>
      </c>
      <c r="K48" s="22">
        <f t="shared" si="40"/>
        <v>-36</v>
      </c>
      <c r="L48" s="22">
        <f t="shared" si="41"/>
        <v>0</v>
      </c>
      <c r="M48" s="145">
        <f t="shared" si="42"/>
        <v>0</v>
      </c>
      <c r="N48" s="22">
        <f t="shared" si="43"/>
        <v>-36</v>
      </c>
      <c r="O48" s="176">
        <f t="shared" si="44"/>
        <v>-18</v>
      </c>
      <c r="P48" s="177">
        <f t="shared" si="45"/>
        <v>6.4799999999999992E-4</v>
      </c>
      <c r="Q48" s="22">
        <f t="shared" si="46"/>
        <v>-15</v>
      </c>
      <c r="R48" s="22">
        <f t="shared" si="47"/>
        <v>-26</v>
      </c>
      <c r="S48" s="145">
        <f t="shared" si="48"/>
        <v>3.8999999999999999E-4</v>
      </c>
      <c r="T48" s="22">
        <f t="shared" si="49"/>
        <v>-38</v>
      </c>
      <c r="U48" s="22">
        <f t="shared" si="50"/>
        <v>-28</v>
      </c>
      <c r="V48" s="177">
        <f t="shared" si="51"/>
        <v>0</v>
      </c>
      <c r="W48" s="145">
        <f t="shared" si="52"/>
        <v>0</v>
      </c>
      <c r="X48" s="145">
        <f t="shared" si="53"/>
        <v>1.0379999999999999E-3</v>
      </c>
      <c r="Y48" s="22"/>
      <c r="Z48" s="22"/>
      <c r="AA48" s="22"/>
      <c r="AB48" s="23"/>
      <c r="AC48" s="188"/>
      <c r="AD48" s="196"/>
      <c r="AE48" s="146"/>
      <c r="AF48" s="146"/>
      <c r="AG48" s="146"/>
      <c r="AH48" s="146"/>
      <c r="AI48" s="197"/>
      <c r="AJ48" s="192"/>
      <c r="AK48" s="190"/>
      <c r="AL48" s="193"/>
      <c r="AM48" s="198">
        <f t="shared" si="54"/>
        <v>0</v>
      </c>
      <c r="AN48" s="194"/>
      <c r="AO48" s="24">
        <f t="shared" ref="AO48:AO49" si="60">IF(G48=$G$2,1,IF(G48=$G$3,2,IF(G48=$G$4,3,IF(G48=$G$5,4,IF(G48=$G$6,5,0)))))*$AO$12*B48</f>
        <v>0</v>
      </c>
      <c r="AP48" s="197">
        <f t="shared" si="56"/>
        <v>0</v>
      </c>
      <c r="AQ48" s="194">
        <f t="shared" si="57"/>
        <v>0</v>
      </c>
      <c r="AR48" s="194">
        <f t="shared" si="58"/>
        <v>0</v>
      </c>
      <c r="AS48" s="147" t="str">
        <f t="shared" si="59"/>
        <v/>
      </c>
    </row>
    <row r="49" spans="1:45" s="6" customFormat="1" ht="20.100000000000001" customHeight="1" thickBot="1">
      <c r="A49" s="111">
        <v>10</v>
      </c>
      <c r="B49" s="183"/>
      <c r="C49" s="183"/>
      <c r="D49" s="183"/>
      <c r="E49" s="213"/>
      <c r="F49" s="183"/>
      <c r="G49" s="214"/>
      <c r="H49" s="138">
        <f t="shared" si="37"/>
        <v>0</v>
      </c>
      <c r="I49" s="22">
        <f t="shared" si="38"/>
        <v>0</v>
      </c>
      <c r="J49" s="145">
        <f t="shared" si="39"/>
        <v>0</v>
      </c>
      <c r="K49" s="22">
        <f t="shared" si="40"/>
        <v>-36</v>
      </c>
      <c r="L49" s="22">
        <f t="shared" si="41"/>
        <v>0</v>
      </c>
      <c r="M49" s="145">
        <f t="shared" si="42"/>
        <v>0</v>
      </c>
      <c r="N49" s="22">
        <f t="shared" si="43"/>
        <v>-36</v>
      </c>
      <c r="O49" s="176">
        <f t="shared" si="44"/>
        <v>-18</v>
      </c>
      <c r="P49" s="177">
        <f t="shared" si="45"/>
        <v>6.4799999999999992E-4</v>
      </c>
      <c r="Q49" s="22">
        <f t="shared" si="46"/>
        <v>-15</v>
      </c>
      <c r="R49" s="22">
        <f t="shared" si="47"/>
        <v>-26</v>
      </c>
      <c r="S49" s="145">
        <f t="shared" si="48"/>
        <v>3.8999999999999999E-4</v>
      </c>
      <c r="T49" s="22">
        <f t="shared" si="49"/>
        <v>-38</v>
      </c>
      <c r="U49" s="22">
        <f t="shared" si="50"/>
        <v>-28</v>
      </c>
      <c r="V49" s="177">
        <f t="shared" si="51"/>
        <v>0</v>
      </c>
      <c r="W49" s="145">
        <f t="shared" si="52"/>
        <v>0</v>
      </c>
      <c r="X49" s="145">
        <f t="shared" si="53"/>
        <v>1.0379999999999999E-3</v>
      </c>
      <c r="Y49" s="22"/>
      <c r="Z49" s="22"/>
      <c r="AA49" s="22"/>
      <c r="AB49" s="23"/>
      <c r="AC49" s="199"/>
      <c r="AD49" s="204"/>
      <c r="AE49" s="201"/>
      <c r="AF49" s="201"/>
      <c r="AG49" s="201"/>
      <c r="AH49" s="201"/>
      <c r="AI49" s="205"/>
      <c r="AJ49" s="200"/>
      <c r="AK49" s="201"/>
      <c r="AL49" s="202"/>
      <c r="AM49" s="203">
        <f t="shared" si="54"/>
        <v>0</v>
      </c>
      <c r="AN49" s="203"/>
      <c r="AO49" s="29">
        <f t="shared" si="60"/>
        <v>0</v>
      </c>
      <c r="AP49" s="205">
        <f t="shared" si="56"/>
        <v>0</v>
      </c>
      <c r="AQ49" s="194">
        <f t="shared" si="57"/>
        <v>0</v>
      </c>
      <c r="AR49" s="194">
        <f t="shared" si="58"/>
        <v>0</v>
      </c>
      <c r="AS49" s="147" t="str">
        <f t="shared" si="59"/>
        <v/>
      </c>
    </row>
  </sheetData>
  <sheetProtection sheet="1" objects="1" scenarios="1" selectLockedCells="1"/>
  <mergeCells count="3">
    <mergeCell ref="A9:X9"/>
    <mergeCell ref="A11:X11"/>
    <mergeCell ref="A36:X36"/>
  </mergeCells>
  <conditionalFormatting sqref="AS16:AS24">
    <cfRule type="notContainsBlanks" dxfId="7" priority="8">
      <formula>LEN(TRIM(AS16))&gt;0</formula>
    </cfRule>
  </conditionalFormatting>
  <conditionalFormatting sqref="AS15:AT15">
    <cfRule type="notContainsBlanks" dxfId="6" priority="7">
      <formula>LEN(TRIM(AS15))&gt;0</formula>
    </cfRule>
  </conditionalFormatting>
  <conditionalFormatting sqref="AC15:AR24">
    <cfRule type="cellIs" dxfId="5" priority="6" operator="equal">
      <formula>0</formula>
    </cfRule>
  </conditionalFormatting>
  <conditionalFormatting sqref="AC15:AC24">
    <cfRule type="cellIs" dxfId="4" priority="5" operator="equal">
      <formula>0</formula>
    </cfRule>
  </conditionalFormatting>
  <conditionalFormatting sqref="AS41:AS49">
    <cfRule type="notContainsBlanks" dxfId="3" priority="4">
      <formula>LEN(TRIM(AS41))&gt;0</formula>
    </cfRule>
  </conditionalFormatting>
  <conditionalFormatting sqref="AS40:AT40">
    <cfRule type="notContainsBlanks" dxfId="2" priority="3">
      <formula>LEN(TRIM(AS40))&gt;0</formula>
    </cfRule>
  </conditionalFormatting>
  <conditionalFormatting sqref="AC40:AR49">
    <cfRule type="cellIs" dxfId="1" priority="2" operator="equal">
      <formula>0</formula>
    </cfRule>
  </conditionalFormatting>
  <conditionalFormatting sqref="AC40:AC49">
    <cfRule type="cellIs" dxfId="0" priority="1" operator="equal">
      <formula>0</formula>
    </cfRule>
  </conditionalFormatting>
  <dataValidations count="2">
    <dataValidation type="list" allowBlank="1" showInputMessage="1" showErrorMessage="1" errorTitle="Hiba" error="Kérem válasszon a listából!" promptTitle="Típus" prompt="Kérem válasszon egy korpusz típus a listából!" sqref="G15:G24">
      <formula1>$G$2:$G$6</formula1>
    </dataValidation>
    <dataValidation type="list" allowBlank="1" showInputMessage="1" showErrorMessage="1" errorTitle="Hiba" error="Kérem válasszon a listából!" promptTitle="Típus" prompt="Kérem válasszon egy korpusz típus a listából!" sqref="G40:G49">
      <formula1>$G$28:$G$29</formula1>
    </dataValidation>
  </dataValidations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0"/>
  <sheetViews>
    <sheetView zoomScaleNormal="100" workbookViewId="0">
      <selection activeCell="U16" sqref="U16"/>
    </sheetView>
  </sheetViews>
  <sheetFormatPr defaultRowHeight="15"/>
  <cols>
    <col min="1" max="1" width="12.28515625" customWidth="1"/>
    <col min="2" max="3" width="10" customWidth="1"/>
    <col min="4" max="4" width="14.42578125" customWidth="1"/>
    <col min="9" max="9" width="4.85546875" style="81" customWidth="1"/>
    <col min="10" max="10" width="0.42578125" style="95" customWidth="1"/>
    <col min="11" max="11" width="3" style="80" customWidth="1"/>
    <col min="12" max="12" width="20.42578125" style="81" customWidth="1"/>
    <col min="13" max="13" width="15.7109375" style="80" customWidth="1"/>
    <col min="14" max="14" width="11.5703125" style="77" customWidth="1"/>
    <col min="18" max="18" width="3.5703125" customWidth="1"/>
    <col min="19" max="19" width="0.42578125" style="95" customWidth="1"/>
    <col min="20" max="20" width="5.85546875" customWidth="1"/>
    <col min="21" max="21" width="21.42578125" customWidth="1"/>
    <col min="22" max="22" width="11" customWidth="1"/>
  </cols>
  <sheetData>
    <row r="1" spans="1:22" ht="30" customHeight="1">
      <c r="A1" s="85" t="s">
        <v>60</v>
      </c>
      <c r="B1" s="77"/>
      <c r="C1" s="77"/>
      <c r="D1" s="77"/>
      <c r="E1" s="77"/>
      <c r="F1" s="77"/>
      <c r="G1" s="77"/>
      <c r="H1" s="77"/>
      <c r="I1" s="80"/>
      <c r="J1" s="94"/>
      <c r="L1" s="85" t="s">
        <v>68</v>
      </c>
      <c r="R1" s="80"/>
      <c r="S1" s="80"/>
      <c r="T1" s="80"/>
    </row>
    <row r="2" spans="1:22" ht="15" customHeight="1">
      <c r="A2" s="78" t="s">
        <v>61</v>
      </c>
      <c r="B2" s="77"/>
      <c r="C2" s="77"/>
      <c r="D2" s="77"/>
      <c r="E2" s="77"/>
      <c r="F2" s="77"/>
      <c r="G2" s="77"/>
      <c r="H2" s="77"/>
      <c r="I2" s="80"/>
      <c r="L2" s="80"/>
    </row>
    <row r="3" spans="1:22" ht="15" customHeight="1" thickBot="1">
      <c r="A3" s="77"/>
      <c r="B3" s="77"/>
      <c r="C3" s="77"/>
      <c r="D3" s="77"/>
      <c r="E3" s="77"/>
      <c r="F3" s="77"/>
      <c r="G3" s="77"/>
      <c r="H3" s="77"/>
      <c r="I3" s="80"/>
      <c r="L3" s="80"/>
    </row>
    <row r="4" spans="1:22" ht="30" customHeight="1" thickBot="1">
      <c r="A4" s="92" t="s">
        <v>64</v>
      </c>
      <c r="B4" s="84"/>
      <c r="C4" s="77"/>
      <c r="D4" s="77"/>
      <c r="E4" s="77"/>
      <c r="F4" s="77"/>
      <c r="G4" s="77"/>
      <c r="H4" s="77"/>
      <c r="I4" s="80"/>
      <c r="L4" s="92" t="s">
        <v>63</v>
      </c>
      <c r="U4" s="92" t="s">
        <v>82</v>
      </c>
    </row>
    <row r="5" spans="1:22" ht="15" customHeight="1" thickBot="1">
      <c r="A5" s="77"/>
      <c r="B5" s="77"/>
      <c r="C5" s="77"/>
      <c r="D5" s="77"/>
      <c r="E5" s="77"/>
      <c r="F5" s="77"/>
      <c r="G5" s="77"/>
      <c r="H5" s="77"/>
      <c r="I5" s="80"/>
      <c r="L5" s="128"/>
      <c r="U5" s="128"/>
      <c r="V5" s="132"/>
    </row>
    <row r="6" spans="1:22" ht="15" customHeight="1" thickBot="1">
      <c r="A6" s="87" t="s">
        <v>65</v>
      </c>
      <c r="B6" s="87" t="s">
        <v>46</v>
      </c>
      <c r="C6" s="87" t="s">
        <v>47</v>
      </c>
      <c r="D6" s="86" t="s">
        <v>66</v>
      </c>
      <c r="E6" s="77"/>
      <c r="F6" s="77"/>
      <c r="G6" s="77"/>
      <c r="H6" s="77"/>
      <c r="I6" s="80"/>
      <c r="K6" s="131"/>
      <c r="L6" s="129" t="s">
        <v>69</v>
      </c>
      <c r="M6" s="103"/>
      <c r="T6" s="136"/>
      <c r="U6" s="129" t="s">
        <v>83</v>
      </c>
      <c r="V6" s="133"/>
    </row>
    <row r="7" spans="1:22" ht="15" customHeight="1" thickBot="1">
      <c r="A7" s="88">
        <v>200</v>
      </c>
      <c r="B7" s="91">
        <v>760</v>
      </c>
      <c r="C7" s="91">
        <v>550</v>
      </c>
      <c r="D7" s="77"/>
      <c r="E7" s="77"/>
      <c r="F7" s="77"/>
      <c r="G7" s="77"/>
      <c r="H7" s="77"/>
      <c r="I7" s="80"/>
      <c r="K7" s="131"/>
      <c r="L7" s="130" t="s">
        <v>70</v>
      </c>
      <c r="M7" s="127"/>
      <c r="T7" s="136"/>
      <c r="U7" s="130" t="s">
        <v>102</v>
      </c>
      <c r="V7" s="134"/>
    </row>
    <row r="8" spans="1:22" ht="15" customHeight="1" thickBot="1">
      <c r="A8" s="89">
        <v>300</v>
      </c>
      <c r="B8" s="77"/>
      <c r="C8" s="77"/>
      <c r="D8" s="77"/>
      <c r="E8" s="77"/>
      <c r="F8" s="77"/>
      <c r="G8" s="77"/>
      <c r="H8" s="77"/>
      <c r="I8" s="80"/>
      <c r="K8" s="131"/>
      <c r="L8" s="102" t="s">
        <v>71</v>
      </c>
      <c r="T8" s="136"/>
      <c r="U8" s="130" t="s">
        <v>70</v>
      </c>
      <c r="V8" s="135"/>
    </row>
    <row r="9" spans="1:22" ht="15" customHeight="1" thickBot="1">
      <c r="A9" s="89">
        <v>400</v>
      </c>
      <c r="B9" s="77"/>
      <c r="C9" s="77"/>
      <c r="D9" s="77"/>
      <c r="E9" s="77"/>
      <c r="F9" s="77"/>
      <c r="G9" s="77"/>
      <c r="H9" s="77"/>
      <c r="I9" s="80"/>
      <c r="L9" s="80"/>
      <c r="T9" s="136"/>
      <c r="U9" s="127" t="s">
        <v>71</v>
      </c>
    </row>
    <row r="10" spans="1:22" ht="15" customHeight="1">
      <c r="A10" s="89">
        <v>600</v>
      </c>
      <c r="B10" s="77"/>
      <c r="C10" s="77"/>
      <c r="D10" s="77"/>
      <c r="E10" s="77"/>
      <c r="F10" s="77"/>
      <c r="G10" s="77"/>
      <c r="H10" s="77"/>
      <c r="I10" s="80"/>
      <c r="L10" s="80"/>
    </row>
    <row r="11" spans="1:22" ht="15" customHeight="1" thickBot="1">
      <c r="A11" s="90">
        <v>800</v>
      </c>
      <c r="B11" s="77"/>
      <c r="C11" s="77"/>
      <c r="D11" s="77"/>
      <c r="E11" s="77"/>
      <c r="F11" s="77"/>
      <c r="G11" s="77"/>
      <c r="H11" s="77"/>
      <c r="I11" s="80"/>
      <c r="L11" s="80"/>
    </row>
    <row r="12" spans="1:22" ht="15" customHeight="1">
      <c r="A12" s="77"/>
      <c r="B12" s="77"/>
      <c r="C12" s="77"/>
      <c r="D12" s="77"/>
      <c r="E12" s="77"/>
      <c r="F12" s="77"/>
      <c r="G12" s="77"/>
      <c r="H12" s="77"/>
      <c r="I12" s="80"/>
      <c r="L12" s="80"/>
    </row>
    <row r="13" spans="1:22" ht="15" customHeight="1">
      <c r="A13" s="77"/>
      <c r="B13" s="77"/>
      <c r="C13" s="77"/>
      <c r="D13" s="77"/>
      <c r="E13" s="77"/>
      <c r="F13" s="77"/>
      <c r="G13" s="77"/>
      <c r="H13" s="77"/>
      <c r="I13" s="80"/>
      <c r="L13" s="80"/>
    </row>
    <row r="14" spans="1:22" ht="15" customHeight="1">
      <c r="A14" s="77"/>
      <c r="B14" s="77"/>
      <c r="C14" s="77"/>
      <c r="D14" s="77"/>
      <c r="E14" s="77"/>
      <c r="F14" s="77"/>
      <c r="G14" s="77"/>
      <c r="H14" s="77"/>
      <c r="I14" s="80"/>
      <c r="L14" s="80"/>
    </row>
    <row r="15" spans="1:22" ht="15" customHeight="1">
      <c r="A15" s="77"/>
      <c r="B15" s="77"/>
      <c r="C15" s="77"/>
      <c r="D15" s="77"/>
      <c r="E15" s="77"/>
      <c r="F15" s="77"/>
      <c r="G15" s="77"/>
      <c r="H15" s="77"/>
      <c r="I15" s="80"/>
      <c r="L15" s="80"/>
    </row>
    <row r="16" spans="1:22" ht="15" customHeight="1">
      <c r="A16" s="77"/>
      <c r="B16" s="77"/>
      <c r="C16" s="77"/>
      <c r="D16" s="77"/>
      <c r="E16" s="77"/>
      <c r="F16" s="77"/>
      <c r="G16" s="77"/>
      <c r="H16" s="77"/>
      <c r="I16" s="80"/>
      <c r="L16" s="80"/>
    </row>
    <row r="17" spans="1:22" ht="15" customHeight="1">
      <c r="A17" s="77"/>
      <c r="B17" s="77"/>
      <c r="C17" s="77"/>
      <c r="D17" s="77"/>
      <c r="E17" s="77"/>
      <c r="F17" s="77"/>
      <c r="G17" s="77"/>
      <c r="H17" s="77"/>
      <c r="I17" s="80"/>
      <c r="L17" s="80"/>
    </row>
    <row r="18" spans="1:22" ht="15" customHeight="1">
      <c r="A18" s="77"/>
      <c r="B18" s="77"/>
      <c r="C18" s="77"/>
      <c r="D18" s="77"/>
      <c r="E18" s="77"/>
      <c r="F18" s="77"/>
      <c r="G18" s="77"/>
      <c r="H18" s="77"/>
      <c r="I18" s="80"/>
      <c r="L18" s="80"/>
    </row>
    <row r="19" spans="1:22" ht="15" customHeight="1" thickBot="1">
      <c r="A19" s="77"/>
      <c r="B19" s="77"/>
      <c r="C19" s="77"/>
      <c r="D19" s="77"/>
      <c r="E19" s="77"/>
      <c r="F19" s="77"/>
      <c r="G19" s="77"/>
      <c r="H19" s="77"/>
      <c r="I19" s="80"/>
      <c r="L19" s="80"/>
    </row>
    <row r="20" spans="1:22" ht="30" customHeight="1" thickBot="1">
      <c r="A20" s="92" t="s">
        <v>67</v>
      </c>
      <c r="B20" s="84"/>
      <c r="C20" s="77"/>
      <c r="D20" s="77"/>
      <c r="E20" s="77"/>
      <c r="F20" s="77"/>
      <c r="G20" s="77"/>
      <c r="H20" s="77"/>
      <c r="I20" s="80"/>
      <c r="L20" s="92" t="s">
        <v>72</v>
      </c>
      <c r="U20" s="92" t="s">
        <v>84</v>
      </c>
    </row>
    <row r="21" spans="1:22" ht="15" customHeight="1" thickBot="1">
      <c r="A21" s="77"/>
      <c r="B21" s="77"/>
      <c r="C21" s="77"/>
      <c r="D21" s="77"/>
      <c r="E21" s="79"/>
      <c r="F21" s="79"/>
      <c r="G21" s="79"/>
      <c r="H21" s="79"/>
      <c r="I21" s="79"/>
      <c r="J21" s="96"/>
      <c r="K21" s="79"/>
      <c r="L21" s="80"/>
      <c r="M21" s="79"/>
      <c r="S21" s="96"/>
      <c r="U21" s="80"/>
    </row>
    <row r="22" spans="1:22" ht="15.75" thickBot="1">
      <c r="A22" s="87" t="s">
        <v>65</v>
      </c>
      <c r="B22" s="87" t="s">
        <v>46</v>
      </c>
      <c r="C22" s="87" t="s">
        <v>47</v>
      </c>
      <c r="D22" s="86" t="s">
        <v>66</v>
      </c>
      <c r="E22" s="79"/>
      <c r="F22" s="79"/>
      <c r="G22" s="79"/>
      <c r="H22" s="79"/>
      <c r="I22" s="79"/>
      <c r="J22" s="96"/>
      <c r="K22" s="79"/>
      <c r="L22" s="97" t="s">
        <v>69</v>
      </c>
      <c r="M22" s="98"/>
      <c r="S22" s="96"/>
      <c r="U22" s="97" t="s">
        <v>83</v>
      </c>
      <c r="V22" s="133"/>
    </row>
    <row r="23" spans="1:22" ht="15.75" thickBot="1">
      <c r="A23" s="88">
        <v>200</v>
      </c>
      <c r="B23" s="126">
        <v>1000</v>
      </c>
      <c r="C23" s="91">
        <v>330</v>
      </c>
      <c r="D23" s="77"/>
      <c r="E23" s="79"/>
      <c r="F23" s="79"/>
      <c r="G23" s="79"/>
      <c r="H23" s="79"/>
      <c r="I23" s="79"/>
      <c r="J23" s="96"/>
      <c r="K23" s="79"/>
      <c r="L23" s="99" t="s">
        <v>74</v>
      </c>
      <c r="M23" s="100"/>
      <c r="S23" s="96"/>
      <c r="U23" s="137" t="s">
        <v>102</v>
      </c>
      <c r="V23" s="134"/>
    </row>
    <row r="24" spans="1:22" ht="15.75" thickBot="1">
      <c r="A24" s="89">
        <v>300</v>
      </c>
      <c r="B24" s="89">
        <v>800</v>
      </c>
      <c r="C24" s="77"/>
      <c r="D24" s="77"/>
      <c r="E24" s="79"/>
      <c r="F24" s="79"/>
      <c r="G24" s="79"/>
      <c r="H24" s="79"/>
      <c r="I24" s="79"/>
      <c r="J24" s="96"/>
      <c r="K24" s="79"/>
      <c r="M24" s="79"/>
      <c r="S24" s="96"/>
      <c r="U24" s="99" t="s">
        <v>73</v>
      </c>
      <c r="V24" s="135"/>
    </row>
    <row r="25" spans="1:22" ht="15.75" thickBot="1">
      <c r="A25" s="89">
        <v>400</v>
      </c>
      <c r="B25" s="90">
        <v>600</v>
      </c>
      <c r="C25" s="77"/>
      <c r="D25" s="77"/>
      <c r="E25" s="79"/>
      <c r="F25" s="79"/>
      <c r="G25" s="79"/>
      <c r="H25" s="79"/>
      <c r="I25" s="79"/>
      <c r="J25" s="96"/>
      <c r="K25" s="79"/>
      <c r="L25" s="79"/>
      <c r="M25" s="79"/>
      <c r="S25" s="96"/>
    </row>
    <row r="26" spans="1:22">
      <c r="A26" s="89">
        <v>600</v>
      </c>
      <c r="B26" s="77"/>
      <c r="C26" s="77"/>
      <c r="D26" s="77"/>
      <c r="E26" s="79"/>
      <c r="F26" s="79"/>
      <c r="G26" s="79"/>
      <c r="H26" s="79"/>
      <c r="I26" s="79"/>
      <c r="J26" s="96"/>
      <c r="K26" s="79"/>
      <c r="L26" s="79"/>
      <c r="M26" s="79"/>
      <c r="S26" s="96"/>
    </row>
    <row r="27" spans="1:22" ht="15.75" thickBot="1">
      <c r="A27" s="90">
        <v>800</v>
      </c>
      <c r="B27" s="77"/>
      <c r="C27" s="77"/>
      <c r="D27" s="77"/>
      <c r="E27" s="79"/>
      <c r="F27" s="79"/>
      <c r="G27" s="79"/>
      <c r="H27" s="79"/>
      <c r="I27" s="79"/>
      <c r="J27" s="96"/>
      <c r="K27" s="79"/>
      <c r="L27" s="79"/>
      <c r="M27" s="79"/>
      <c r="S27" s="96"/>
    </row>
    <row r="28" spans="1:22">
      <c r="A28" s="79"/>
      <c r="B28" s="79"/>
      <c r="C28" s="79"/>
      <c r="D28" s="79"/>
      <c r="E28" s="79"/>
      <c r="F28" s="79"/>
      <c r="G28" s="79"/>
      <c r="H28" s="79"/>
      <c r="I28" s="79"/>
      <c r="J28" s="96"/>
      <c r="K28" s="79"/>
      <c r="L28" s="79"/>
      <c r="M28" s="79"/>
      <c r="S28" s="96"/>
    </row>
    <row r="29" spans="1:22">
      <c r="A29" s="79"/>
      <c r="B29" s="79"/>
      <c r="C29" s="79"/>
      <c r="D29" s="79"/>
      <c r="E29" s="79"/>
      <c r="F29" s="79"/>
      <c r="G29" s="79"/>
      <c r="H29" s="79"/>
      <c r="I29" s="79"/>
      <c r="J29" s="96"/>
      <c r="K29" s="79"/>
      <c r="L29" s="79"/>
      <c r="M29" s="79"/>
      <c r="S29" s="96"/>
    </row>
    <row r="30" spans="1:22">
      <c r="A30" s="79"/>
      <c r="B30" s="79"/>
      <c r="C30" s="79"/>
      <c r="D30" s="79"/>
      <c r="E30" s="79"/>
      <c r="F30" s="79"/>
      <c r="G30" s="79"/>
      <c r="H30" s="79"/>
      <c r="I30" s="79"/>
      <c r="J30" s="96"/>
      <c r="K30" s="79"/>
      <c r="L30" s="79"/>
      <c r="M30" s="79"/>
      <c r="S30" s="96"/>
    </row>
    <row r="31" spans="1:22">
      <c r="A31" s="79"/>
      <c r="B31" s="79"/>
      <c r="C31" s="79"/>
      <c r="D31" s="79"/>
      <c r="E31" s="79"/>
      <c r="F31" s="79"/>
      <c r="G31" s="79"/>
      <c r="H31" s="79"/>
      <c r="I31" s="79"/>
      <c r="J31" s="96"/>
      <c r="K31" s="79"/>
      <c r="L31" s="79"/>
      <c r="M31" s="79"/>
      <c r="S31" s="96"/>
    </row>
    <row r="32" spans="1:22">
      <c r="A32" s="79"/>
      <c r="B32" s="79"/>
      <c r="C32" s="79"/>
      <c r="D32" s="79"/>
      <c r="E32" s="79"/>
      <c r="F32" s="79"/>
      <c r="G32" s="79"/>
      <c r="H32" s="79"/>
      <c r="I32" s="79"/>
      <c r="J32" s="96"/>
      <c r="K32" s="79"/>
      <c r="L32" s="79"/>
      <c r="M32" s="79"/>
      <c r="S32" s="96"/>
    </row>
    <row r="33" spans="1:19">
      <c r="A33" s="79"/>
      <c r="B33" s="79"/>
      <c r="C33" s="79"/>
      <c r="D33" s="79"/>
      <c r="E33" s="79"/>
      <c r="F33" s="79"/>
      <c r="G33" s="79"/>
      <c r="H33" s="79"/>
      <c r="I33" s="79"/>
      <c r="J33" s="96"/>
      <c r="K33" s="79"/>
      <c r="L33" s="79"/>
      <c r="M33" s="79"/>
      <c r="S33" s="96"/>
    </row>
    <row r="34" spans="1:19">
      <c r="A34" s="79"/>
      <c r="B34" s="79"/>
      <c r="C34" s="79"/>
      <c r="D34" s="79"/>
      <c r="E34" s="79"/>
      <c r="F34" s="79"/>
      <c r="G34" s="79"/>
      <c r="H34" s="79"/>
      <c r="I34" s="79"/>
      <c r="J34" s="96"/>
      <c r="K34" s="79"/>
      <c r="L34" s="79"/>
      <c r="M34" s="79"/>
      <c r="S34" s="96"/>
    </row>
    <row r="35" spans="1:19" ht="15.75" thickBot="1">
      <c r="A35" s="79"/>
      <c r="B35" s="79"/>
      <c r="C35" s="79"/>
      <c r="D35" s="79"/>
      <c r="E35" s="79"/>
      <c r="F35" s="79"/>
      <c r="G35" s="79"/>
      <c r="H35" s="79"/>
      <c r="I35" s="79"/>
      <c r="J35" s="96"/>
      <c r="K35" s="79"/>
      <c r="L35" s="79"/>
      <c r="M35" s="79"/>
      <c r="S35" s="96"/>
    </row>
    <row r="36" spans="1:19" ht="30" customHeight="1" thickBot="1">
      <c r="L36" s="92" t="s">
        <v>75</v>
      </c>
    </row>
    <row r="37" spans="1:19" ht="15.75" thickBot="1">
      <c r="L37" s="80"/>
    </row>
    <row r="38" spans="1:19">
      <c r="L38" s="101" t="s">
        <v>77</v>
      </c>
    </row>
    <row r="39" spans="1:19" ht="15.75" thickBot="1">
      <c r="L39" s="102" t="s">
        <v>78</v>
      </c>
    </row>
    <row r="40" spans="1:19">
      <c r="L40" s="80"/>
    </row>
    <row r="41" spans="1:19">
      <c r="L41" s="80"/>
    </row>
    <row r="51" spans="12:12" ht="15.75" thickBot="1"/>
    <row r="52" spans="12:12" ht="30" customHeight="1" thickBot="1">
      <c r="L52" s="92" t="s">
        <v>76</v>
      </c>
    </row>
    <row r="53" spans="12:12" ht="15.75" thickBot="1">
      <c r="L53" s="80"/>
    </row>
    <row r="54" spans="12:12" ht="15.75" thickBot="1">
      <c r="L54" s="93" t="s">
        <v>79</v>
      </c>
    </row>
    <row r="67" spans="12:12" ht="15.75" thickBot="1"/>
    <row r="68" spans="12:12" ht="30" customHeight="1" thickBot="1">
      <c r="L68" s="92" t="s">
        <v>80</v>
      </c>
    </row>
    <row r="69" spans="12:12" ht="15.75" thickBot="1">
      <c r="L69" s="80"/>
    </row>
    <row r="70" spans="12:12" ht="15.75" thickBot="1">
      <c r="L70" s="93" t="s">
        <v>81</v>
      </c>
    </row>
  </sheetData>
  <sheetProtection sheet="1" objects="1" scenarios="1" selectLockedCells="1"/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Egyen Kalkulátor</vt:lpstr>
      <vt:lpstr>Egyedi kalkulátor</vt:lpstr>
      <vt:lpstr>Elérhető típusok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Fazekas Bence</dc:creator>
  <cp:lastModifiedBy>Fazekas Bence</cp:lastModifiedBy>
  <dcterms:created xsi:type="dcterms:W3CDTF">2024-06-07T12:35:00Z</dcterms:created>
  <dcterms:modified xsi:type="dcterms:W3CDTF">2024-06-28T08:52:26Z</dcterms:modified>
</cp:coreProperties>
</file>